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7400" windowHeight="101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Лист1!$A$1:$Q$65</definedName>
  </definedNames>
  <calcPr calcId="125725" iterate="1"/>
</workbook>
</file>

<file path=xl/calcChain.xml><?xml version="1.0" encoding="utf-8"?>
<calcChain xmlns="http://schemas.openxmlformats.org/spreadsheetml/2006/main">
  <c r="I30" i="1"/>
  <c r="L63"/>
  <c r="P12"/>
  <c r="L64"/>
  <c r="P8"/>
  <c r="L59"/>
  <c r="L54"/>
  <c r="P54" s="1"/>
  <c r="L50"/>
  <c r="L48"/>
  <c r="L42"/>
  <c r="L37"/>
  <c r="L33"/>
  <c r="L30"/>
  <c r="L25"/>
  <c r="L23"/>
  <c r="L20"/>
  <c r="L18"/>
  <c r="L13"/>
  <c r="L9"/>
  <c r="L7"/>
  <c r="L41"/>
  <c r="L39" s="1"/>
  <c r="I32"/>
  <c r="I59"/>
  <c r="I54"/>
  <c r="I50"/>
  <c r="I48"/>
  <c r="I46"/>
  <c r="I42"/>
  <c r="I33"/>
  <c r="I25"/>
  <c r="I23"/>
  <c r="I20"/>
  <c r="I18"/>
  <c r="I13"/>
  <c r="I9"/>
  <c r="I7"/>
  <c r="I37"/>
  <c r="I41"/>
  <c r="I39" s="1"/>
  <c r="P53"/>
  <c r="K53"/>
  <c r="O53" s="1"/>
  <c r="P57"/>
  <c r="K57"/>
  <c r="O57" s="1"/>
  <c r="P39" l="1"/>
  <c r="Q53"/>
  <c r="Q57"/>
  <c r="P60" l="1"/>
  <c r="P61"/>
  <c r="P62"/>
  <c r="P63"/>
  <c r="P64"/>
  <c r="K64"/>
  <c r="O64" s="1"/>
  <c r="K63"/>
  <c r="O63" s="1"/>
  <c r="K61"/>
  <c r="O61" s="1"/>
  <c r="K62"/>
  <c r="O62" s="1"/>
  <c r="K60"/>
  <c r="O60" s="1"/>
  <c r="P55"/>
  <c r="P56"/>
  <c r="P58"/>
  <c r="K56"/>
  <c r="O56" s="1"/>
  <c r="K58"/>
  <c r="O58" s="1"/>
  <c r="K55"/>
  <c r="O55" s="1"/>
  <c r="P52"/>
  <c r="K52"/>
  <c r="K50" s="1"/>
  <c r="P48"/>
  <c r="P49"/>
  <c r="K49"/>
  <c r="O49" s="1"/>
  <c r="L46"/>
  <c r="L65" s="1"/>
  <c r="K46"/>
  <c r="P40"/>
  <c r="K40"/>
  <c r="O40" s="1"/>
  <c r="P38"/>
  <c r="P34"/>
  <c r="P35"/>
  <c r="K35"/>
  <c r="O35" s="1"/>
  <c r="K34"/>
  <c r="O34" s="1"/>
  <c r="P32"/>
  <c r="K32"/>
  <c r="O32" s="1"/>
  <c r="K30"/>
  <c r="H30"/>
  <c r="K28"/>
  <c r="P27"/>
  <c r="K27"/>
  <c r="O27" s="1"/>
  <c r="P24"/>
  <c r="K24"/>
  <c r="O24" s="1"/>
  <c r="P22"/>
  <c r="P21"/>
  <c r="K22"/>
  <c r="O22" s="1"/>
  <c r="K21"/>
  <c r="O21" s="1"/>
  <c r="P19"/>
  <c r="K19"/>
  <c r="O19" s="1"/>
  <c r="P16"/>
  <c r="P17"/>
  <c r="P14"/>
  <c r="K16"/>
  <c r="O16" s="1"/>
  <c r="K17"/>
  <c r="O17" s="1"/>
  <c r="K14"/>
  <c r="O14" s="1"/>
  <c r="O8"/>
  <c r="P10"/>
  <c r="K10"/>
  <c r="O10" s="1"/>
  <c r="O30" l="1"/>
  <c r="P46"/>
  <c r="O52"/>
  <c r="K13"/>
  <c r="P30"/>
  <c r="J30" s="1"/>
  <c r="Q8"/>
  <c r="K7"/>
  <c r="K38"/>
  <c r="O38" s="1"/>
  <c r="Q35" l="1"/>
  <c r="J63"/>
  <c r="H59" l="1"/>
  <c r="P9"/>
  <c r="K9"/>
  <c r="H9"/>
  <c r="K5"/>
  <c r="O9" l="1"/>
  <c r="J9"/>
  <c r="L5"/>
  <c r="P5"/>
  <c r="P18" l="1"/>
  <c r="K18"/>
  <c r="O18" s="1"/>
  <c r="H18"/>
  <c r="H50"/>
  <c r="O50" s="1"/>
  <c r="H37"/>
  <c r="K37"/>
  <c r="O37" l="1"/>
  <c r="P50"/>
  <c r="P37"/>
  <c r="K54"/>
  <c r="H54"/>
  <c r="O54" l="1"/>
  <c r="Q58"/>
  <c r="H13"/>
  <c r="O13" s="1"/>
  <c r="H46"/>
  <c r="O46" s="1"/>
  <c r="H39"/>
  <c r="H33"/>
  <c r="H25"/>
  <c r="H23"/>
  <c r="H20"/>
  <c r="H7"/>
  <c r="O7" s="1"/>
  <c r="I5"/>
  <c r="H5"/>
  <c r="P23"/>
  <c r="K23"/>
  <c r="O23" l="1"/>
  <c r="P25"/>
  <c r="K25"/>
  <c r="O25" s="1"/>
  <c r="H28"/>
  <c r="O28" s="1"/>
  <c r="I28"/>
  <c r="I65" s="1"/>
  <c r="J28"/>
  <c r="U28" s="1"/>
  <c r="L28"/>
  <c r="P28" s="1"/>
  <c r="Q24"/>
  <c r="K48"/>
  <c r="H48"/>
  <c r="P7"/>
  <c r="O48" l="1"/>
  <c r="W28"/>
  <c r="J25"/>
  <c r="V28"/>
  <c r="Q27"/>
  <c r="Q49"/>
  <c r="J48"/>
  <c r="Q28" l="1"/>
  <c r="Q23"/>
  <c r="J23"/>
  <c r="Q25"/>
  <c r="Q48"/>
  <c r="P59" l="1"/>
  <c r="K59"/>
  <c r="O59" s="1"/>
  <c r="J59" l="1"/>
  <c r="Q62"/>
  <c r="Q61"/>
  <c r="Q60"/>
  <c r="Q59" l="1"/>
  <c r="Q10"/>
  <c r="Q19"/>
  <c r="P20"/>
  <c r="K20"/>
  <c r="O20" s="1"/>
  <c r="P13" l="1"/>
  <c r="Q52"/>
  <c r="Q38"/>
  <c r="Q16"/>
  <c r="Q14"/>
  <c r="Q17"/>
  <c r="J20"/>
  <c r="Q22"/>
  <c r="Q21"/>
  <c r="Q56"/>
  <c r="Q55"/>
  <c r="J7"/>
  <c r="J18"/>
  <c r="J32"/>
  <c r="J37"/>
  <c r="J46"/>
  <c r="J50"/>
  <c r="J54"/>
  <c r="O5"/>
  <c r="J64" l="1"/>
  <c r="Q64"/>
  <c r="Q13"/>
  <c r="J13"/>
  <c r="Q63"/>
  <c r="Q54"/>
  <c r="Q40"/>
  <c r="Q37"/>
  <c r="Q34"/>
  <c r="Q9"/>
  <c r="Q50"/>
  <c r="Q30"/>
  <c r="Q18"/>
  <c r="Q32"/>
  <c r="Q20"/>
  <c r="Q7"/>
  <c r="Q46"/>
  <c r="K42"/>
  <c r="H42"/>
  <c r="H65" s="1"/>
  <c r="K39"/>
  <c r="O39" s="1"/>
  <c r="P42" l="1"/>
  <c r="O42"/>
  <c r="K33"/>
  <c r="G5"/>
  <c r="U64"/>
  <c r="U63"/>
  <c r="U59"/>
  <c r="U23"/>
  <c r="W13"/>
  <c r="V13"/>
  <c r="U13"/>
  <c r="T65"/>
  <c r="S65"/>
  <c r="R65"/>
  <c r="W54"/>
  <c r="V54"/>
  <c r="U54"/>
  <c r="P33" l="1"/>
  <c r="P65"/>
  <c r="K65"/>
  <c r="O65" s="1"/>
  <c r="O66" s="1"/>
  <c r="O33"/>
  <c r="G65"/>
  <c r="J5"/>
  <c r="Q42"/>
  <c r="J42"/>
  <c r="U42" s="1"/>
  <c r="J39"/>
  <c r="U39" s="1"/>
  <c r="Q39"/>
  <c r="AE30"/>
  <c r="W50"/>
  <c r="V50"/>
  <c r="U50"/>
  <c r="W48"/>
  <c r="V48"/>
  <c r="U48"/>
  <c r="W46"/>
  <c r="V46"/>
  <c r="U46"/>
  <c r="W42"/>
  <c r="V42"/>
  <c r="W39"/>
  <c r="V39"/>
  <c r="W37"/>
  <c r="V37"/>
  <c r="U37"/>
  <c r="W32"/>
  <c r="V32"/>
  <c r="U32"/>
  <c r="W30"/>
  <c r="V30"/>
  <c r="U30"/>
  <c r="W24"/>
  <c r="V24"/>
  <c r="U24"/>
  <c r="W20"/>
  <c r="V20"/>
  <c r="U20"/>
  <c r="W18"/>
  <c r="V18"/>
  <c r="U18"/>
  <c r="W12"/>
  <c r="V12"/>
  <c r="U12"/>
  <c r="W9"/>
  <c r="V9"/>
  <c r="U9"/>
  <c r="W7"/>
  <c r="V7"/>
  <c r="U7"/>
  <c r="Q66" l="1"/>
  <c r="Q5"/>
  <c r="Q33"/>
  <c r="J33"/>
  <c r="U5"/>
  <c r="V5"/>
  <c r="V65"/>
  <c r="W5"/>
  <c r="W65"/>
  <c r="J65" l="1"/>
  <c r="U33"/>
  <c r="Q65"/>
  <c r="U65" l="1"/>
</calcChain>
</file>

<file path=xl/sharedStrings.xml><?xml version="1.0" encoding="utf-8"?>
<sst xmlns="http://schemas.openxmlformats.org/spreadsheetml/2006/main" count="138" uniqueCount="115">
  <si>
    <t>№ п/п</t>
  </si>
  <si>
    <t>2015 факт</t>
  </si>
  <si>
    <t>2016 расчет</t>
  </si>
  <si>
    <t>2017 план</t>
  </si>
  <si>
    <t>МУП "САХ и благоустройство г. Вичуга Ивановской области"</t>
  </si>
  <si>
    <t>Итого:</t>
  </si>
  <si>
    <t>Количество мест сбора, шт.</t>
  </si>
  <si>
    <t>МКП "Спецтехстрой" (г. Родники)</t>
  </si>
  <si>
    <t>ООО "Пестяковское ЖКХ"</t>
  </si>
  <si>
    <t>Затраты на сбор и вывоз  1 куб.м. ТБО</t>
  </si>
  <si>
    <t>Муниципальный район в котором осуществляется сбор ТБО</t>
  </si>
  <si>
    <t>Южский р-н</t>
  </si>
  <si>
    <t>ООО "Чистая область - Южа"</t>
  </si>
  <si>
    <t>г.о. Вичуга</t>
  </si>
  <si>
    <t>Полигон для утилизации ТБО</t>
  </si>
  <si>
    <t>Палехский м.р.</t>
  </si>
  <si>
    <t>ООО "Чистое поле-Центр"</t>
  </si>
  <si>
    <t>Заволжский м.р.</t>
  </si>
  <si>
    <t>МПЗР "Заволжское РМПО ЖКХ"</t>
  </si>
  <si>
    <t>Приволжский м.р.</t>
  </si>
  <si>
    <t>Пестяковский м.р.</t>
  </si>
  <si>
    <t>Родниковский м.р.</t>
  </si>
  <si>
    <t>ООО "Чистое поле +"</t>
  </si>
  <si>
    <t>Ивановский м.р.</t>
  </si>
  <si>
    <t>ООО "Чистый город"</t>
  </si>
  <si>
    <t>городской округ Кохма</t>
  </si>
  <si>
    <t>Комсомольский м.р.                                                                                 Фурмановский м.р.</t>
  </si>
  <si>
    <t>Гавпосадский м.р.</t>
  </si>
  <si>
    <t>Тейковский м.р.</t>
  </si>
  <si>
    <t>МУП "ЖКС" (г.Тейково)</t>
  </si>
  <si>
    <t>АО "РСО" (г. Гаврилов Посад)</t>
  </si>
  <si>
    <t>Кинешемский м.р.</t>
  </si>
  <si>
    <t>ООО "Чистое поле"</t>
  </si>
  <si>
    <t>г.о. Иваново</t>
  </si>
  <si>
    <t>Пучежский м.р.</t>
  </si>
  <si>
    <t>ООО "ДомоСтрой-2"</t>
  </si>
  <si>
    <t>Вичугский район</t>
  </si>
  <si>
    <t>ООО "Юг"</t>
  </si>
  <si>
    <t>Верхнеландеховский м.р.</t>
  </si>
  <si>
    <t>ООО "Чистое поле центр"</t>
  </si>
  <si>
    <t>Савинский и Лежневского м.р</t>
  </si>
  <si>
    <t>Объемы по 2-тп</t>
  </si>
  <si>
    <t>схема</t>
  </si>
  <si>
    <t>1 пол. 2016</t>
  </si>
  <si>
    <t xml:space="preserve"> 1 пол. 2016</t>
  </si>
  <si>
    <t>Тариф, руб./куб.м</t>
  </si>
  <si>
    <t>г.о. Кинешма</t>
  </si>
  <si>
    <t>г.о. Кохма</t>
  </si>
  <si>
    <t>г.о. Тейково</t>
  </si>
  <si>
    <t>Вичугский м.р.</t>
  </si>
  <si>
    <t>Гаврилово-Посадский м.р.</t>
  </si>
  <si>
    <t>Ильинский м.р.</t>
  </si>
  <si>
    <t>Комсомольский м.р.</t>
  </si>
  <si>
    <t>Лежневский м.р.</t>
  </si>
  <si>
    <t>Лухский м.р.</t>
  </si>
  <si>
    <t>Савинский м.р.</t>
  </si>
  <si>
    <t>Фурмановский м.р.</t>
  </si>
  <si>
    <t>Южский м.р.</t>
  </si>
  <si>
    <t>Наименование организаций</t>
  </si>
  <si>
    <t>Муниципальный район в котором осуществляется сбор ТКО</t>
  </si>
  <si>
    <t>Рост тарифа, %</t>
  </si>
  <si>
    <t>2016 к 2015</t>
  </si>
  <si>
    <t>ООО "Домострой"</t>
  </si>
  <si>
    <t>ООО "СЕРВИС"</t>
  </si>
  <si>
    <t>исходя из объемов в схеме и расчетного тарифа 1 пол. 2016 года</t>
  </si>
  <si>
    <t>МКП "ТПБиРГ"</t>
  </si>
  <si>
    <t>ООО "Управдом"</t>
  </si>
  <si>
    <t>ООО "Управдом-Центр"</t>
  </si>
  <si>
    <t>ООО "УК Рост"</t>
  </si>
  <si>
    <t>МБУ "Надежда"</t>
  </si>
  <si>
    <t>ООО Центр по расчётам за услуги ЖКХ</t>
  </si>
  <si>
    <t>МУП ЖКХ «Нерльское коммунальное объединение»</t>
  </si>
  <si>
    <t>МУП ЖКХ "Большеклочковского с.п."</t>
  </si>
  <si>
    <t>МУП ЖКХ "Новолеушинское коммунальное объединение"</t>
  </si>
  <si>
    <t>Лухский муниципальный район</t>
  </si>
  <si>
    <t>ИП Круглова Г.М.</t>
  </si>
  <si>
    <t>ООО "Управляющая компания №4"</t>
  </si>
  <si>
    <t>ООО "Управляющая компания №1"</t>
  </si>
  <si>
    <t>ООО "Управляющая компания №3"</t>
  </si>
  <si>
    <t>ООО "Комплекс Сервис"</t>
  </si>
  <si>
    <t>МУП "САХ и благоустройство г. Вичуга"</t>
  </si>
  <si>
    <t>МКП "Спецтехстрой"</t>
  </si>
  <si>
    <t>МУП "Заволжское коммунальное хозяйство"</t>
  </si>
  <si>
    <t>Чистое поле - Иваново</t>
  </si>
  <si>
    <t xml:space="preserve">МУП "Приволжское МПО ЖКХ" </t>
  </si>
  <si>
    <t>тариф по данным ассоциации, руб. в год,   без НДС</t>
  </si>
  <si>
    <t>298,2 - г. Шуя   307,86 - Шуйск.р.</t>
  </si>
  <si>
    <t>план 2017           (рост 1,04)</t>
  </si>
  <si>
    <t>Объем ТКО, куб.м./год</t>
  </si>
  <si>
    <t>тариф по данным отдела нормативов        (без НДС)</t>
  </si>
  <si>
    <t>239,5-203,14</t>
  </si>
  <si>
    <t>275,69-300,85</t>
  </si>
  <si>
    <t>211,9-271,19</t>
  </si>
  <si>
    <t>336,24-401,68</t>
  </si>
  <si>
    <t>2,54-710,17</t>
  </si>
  <si>
    <t>36,26-299,15</t>
  </si>
  <si>
    <t>12,71-185</t>
  </si>
  <si>
    <t>251,6-366,8</t>
  </si>
  <si>
    <t>1,5-258,2</t>
  </si>
  <si>
    <t>231,3-387,11</t>
  </si>
  <si>
    <t>42,37-110,17</t>
  </si>
  <si>
    <t>42,37-584,74</t>
  </si>
  <si>
    <t>125,42-616,24</t>
  </si>
  <si>
    <t>214,40-298,30</t>
  </si>
  <si>
    <t>278,45-289,94</t>
  </si>
  <si>
    <t>231,26-359,57</t>
  </si>
  <si>
    <t>261,66-5592,2</t>
  </si>
  <si>
    <t>ООО УК "Кохомская УК"</t>
  </si>
  <si>
    <t>НВВ , тыс. руб./год</t>
  </si>
  <si>
    <t>УК ООО "Комсети"</t>
  </si>
  <si>
    <t>ООО Трансжилсервис</t>
  </si>
  <si>
    <t xml:space="preserve"> ООО "Партнер Плюс"</t>
  </si>
  <si>
    <t xml:space="preserve"> ООО "ЖУК" </t>
  </si>
  <si>
    <t>г.о. Шуя  ,  Шуйский м.р.</t>
  </si>
  <si>
    <t>Расчет средневзвешенного тарифа на сбор и транспортирование ТКО за 1е полугодие 2016 года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</si>
</sst>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%"/>
    <numFmt numFmtId="166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4" tint="-0.499984740745262"/>
      <name val="Times New Roman"/>
      <family val="1"/>
      <charset val="204"/>
    </font>
    <font>
      <sz val="11"/>
      <color theme="4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1" fillId="0" borderId="0" xfId="0" applyFont="1"/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5" fillId="0" borderId="0" xfId="0" applyFont="1"/>
    <xf numFmtId="1" fontId="1" fillId="0" borderId="17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1" fillId="0" borderId="39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/>
    </xf>
    <xf numFmtId="1" fontId="1" fillId="0" borderId="4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9" fontId="1" fillId="0" borderId="0" xfId="0" applyNumberFormat="1" applyFont="1" applyBorder="1"/>
    <xf numFmtId="2" fontId="5" fillId="0" borderId="0" xfId="0" applyNumberFormat="1" applyFont="1" applyBorder="1"/>
    <xf numFmtId="0" fontId="1" fillId="0" borderId="0" xfId="0" applyFont="1" applyBorder="1"/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10" fontId="5" fillId="2" borderId="29" xfId="0" applyNumberFormat="1" applyFont="1" applyFill="1" applyBorder="1" applyAlignment="1">
      <alignment horizontal="center" vertical="center"/>
    </xf>
    <xf numFmtId="10" fontId="1" fillId="2" borderId="29" xfId="0" applyNumberFormat="1" applyFont="1" applyFill="1" applyBorder="1" applyAlignment="1">
      <alignment horizontal="center" vertical="center"/>
    </xf>
    <xf numFmtId="165" fontId="7" fillId="2" borderId="4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/>
    </xf>
    <xf numFmtId="1" fontId="1" fillId="0" borderId="49" xfId="0" applyNumberFormat="1" applyFon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/>
    </xf>
    <xf numFmtId="9" fontId="1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2" fontId="10" fillId="0" borderId="0" xfId="0" applyNumberFormat="1" applyFont="1" applyBorder="1"/>
    <xf numFmtId="166" fontId="1" fillId="2" borderId="1" xfId="0" applyNumberFormat="1" applyFont="1" applyFill="1" applyBorder="1" applyAlignment="1">
      <alignment horizontal="center" vertical="center"/>
    </xf>
    <xf numFmtId="10" fontId="5" fillId="2" borderId="39" xfId="0" applyNumberFormat="1" applyFont="1" applyFill="1" applyBorder="1" applyAlignment="1">
      <alignment horizontal="center" vertical="center"/>
    </xf>
    <xf numFmtId="0" fontId="1" fillId="0" borderId="1" xfId="0" applyFont="1" applyBorder="1"/>
    <xf numFmtId="2" fontId="1" fillId="0" borderId="4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39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3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1" fillId="2" borderId="45" xfId="0" applyFont="1" applyFill="1" applyBorder="1" applyAlignment="1">
      <alignment vertical="center"/>
    </xf>
    <xf numFmtId="0" fontId="1" fillId="2" borderId="55" xfId="0" applyFont="1" applyFill="1" applyBorder="1" applyAlignment="1">
      <alignment vertical="center"/>
    </xf>
    <xf numFmtId="0" fontId="1" fillId="2" borderId="37" xfId="0" applyFont="1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2" fontId="1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FFE7"/>
      <color rgb="FFD9F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0"/>
  <sheetViews>
    <sheetView tabSelected="1" view="pageBreakPreview" zoomScaleNormal="100" zoomScaleSheetLayoutView="100" workbookViewId="0">
      <pane ySplit="4" topLeftCell="A14" activePane="bottomLeft" state="frozen"/>
      <selection pane="bottomLeft" activeCell="AL14" sqref="AL14"/>
    </sheetView>
  </sheetViews>
  <sheetFormatPr defaultRowHeight="15"/>
  <cols>
    <col min="1" max="1" width="4.140625" style="1" customWidth="1"/>
    <col min="5" max="5" width="25.28515625" customWidth="1"/>
    <col min="6" max="6" width="25.28515625" style="1" customWidth="1"/>
    <col min="7" max="7" width="18.140625" style="1" hidden="1" customWidth="1"/>
    <col min="8" max="8" width="14.7109375" style="1" hidden="1" customWidth="1"/>
    <col min="9" max="9" width="24.5703125" style="1" customWidth="1"/>
    <col min="10" max="10" width="17.28515625" style="1" hidden="1" customWidth="1"/>
    <col min="11" max="11" width="16.85546875" style="1" hidden="1" customWidth="1"/>
    <col min="12" max="12" width="23.28515625" style="1" customWidth="1"/>
    <col min="13" max="13" width="14.85546875" style="1" hidden="1" customWidth="1"/>
    <col min="14" max="14" width="15.42578125" style="1" hidden="1" customWidth="1"/>
    <col min="15" max="15" width="13.140625" style="1" hidden="1" customWidth="1"/>
    <col min="16" max="16" width="25.85546875" style="153" customWidth="1"/>
    <col min="17" max="17" width="13.42578125" style="1" hidden="1" customWidth="1"/>
    <col min="18" max="18" width="11.42578125" style="1" hidden="1" customWidth="1"/>
    <col min="19" max="19" width="13.140625" style="1" hidden="1" customWidth="1"/>
    <col min="20" max="20" width="11.140625" style="1" hidden="1" customWidth="1"/>
    <col min="21" max="21" width="11.85546875" hidden="1" customWidth="1"/>
    <col min="22" max="22" width="13.140625" hidden="1" customWidth="1"/>
    <col min="23" max="26" width="11.7109375" hidden="1" customWidth="1"/>
    <col min="27" max="32" width="9.140625" hidden="1" customWidth="1"/>
    <col min="33" max="33" width="10" hidden="1" customWidth="1"/>
    <col min="34" max="34" width="9.140625" hidden="1" customWidth="1"/>
  </cols>
  <sheetData>
    <row r="1" spans="1:34" ht="15" customHeight="1">
      <c r="A1" s="228" t="s">
        <v>114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34" ht="15.75" thickBot="1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34" ht="36" customHeight="1" thickBot="1">
      <c r="A3" s="240" t="s">
        <v>0</v>
      </c>
      <c r="B3" s="239" t="s">
        <v>59</v>
      </c>
      <c r="C3" s="239"/>
      <c r="D3" s="239"/>
      <c r="E3" s="239"/>
      <c r="F3" s="240" t="s">
        <v>58</v>
      </c>
      <c r="G3" s="244" t="s">
        <v>88</v>
      </c>
      <c r="H3" s="244"/>
      <c r="I3" s="244"/>
      <c r="J3" s="244" t="s">
        <v>108</v>
      </c>
      <c r="K3" s="244"/>
      <c r="L3" s="244"/>
      <c r="M3" s="240" t="s">
        <v>45</v>
      </c>
      <c r="N3" s="240"/>
      <c r="O3" s="240"/>
      <c r="P3" s="240"/>
      <c r="Q3" s="117" t="s">
        <v>60</v>
      </c>
      <c r="R3" s="229" t="s">
        <v>6</v>
      </c>
      <c r="S3" s="230"/>
      <c r="T3" s="231"/>
      <c r="U3" s="236" t="s">
        <v>9</v>
      </c>
      <c r="V3" s="237"/>
      <c r="W3" s="237"/>
      <c r="X3" s="236" t="s">
        <v>41</v>
      </c>
      <c r="Y3" s="237"/>
      <c r="Z3" s="238"/>
      <c r="AA3" s="232" t="s">
        <v>10</v>
      </c>
      <c r="AB3" s="232"/>
      <c r="AC3" s="232"/>
      <c r="AD3" s="233"/>
      <c r="AE3" s="209" t="s">
        <v>14</v>
      </c>
      <c r="AF3" s="210"/>
      <c r="AG3" s="210"/>
      <c r="AH3" s="211"/>
    </row>
    <row r="4" spans="1:34" ht="114.75" customHeight="1" thickBot="1">
      <c r="A4" s="240"/>
      <c r="B4" s="239"/>
      <c r="C4" s="239"/>
      <c r="D4" s="239"/>
      <c r="E4" s="239"/>
      <c r="F4" s="240"/>
      <c r="G4" s="155" t="s">
        <v>42</v>
      </c>
      <c r="H4" s="125">
        <v>2015</v>
      </c>
      <c r="I4" s="125" t="s">
        <v>43</v>
      </c>
      <c r="J4" s="125" t="s">
        <v>64</v>
      </c>
      <c r="K4" s="125">
        <v>2015</v>
      </c>
      <c r="L4" s="125" t="s">
        <v>44</v>
      </c>
      <c r="M4" s="125" t="s">
        <v>85</v>
      </c>
      <c r="N4" s="125" t="s">
        <v>89</v>
      </c>
      <c r="O4" s="126">
        <v>2015</v>
      </c>
      <c r="P4" s="126" t="s">
        <v>43</v>
      </c>
      <c r="Q4" s="118" t="s">
        <v>61</v>
      </c>
      <c r="R4" s="46" t="s">
        <v>1</v>
      </c>
      <c r="S4" s="5" t="s">
        <v>2</v>
      </c>
      <c r="T4" s="6" t="s">
        <v>3</v>
      </c>
      <c r="U4" s="8" t="s">
        <v>1</v>
      </c>
      <c r="V4" s="7" t="s">
        <v>2</v>
      </c>
      <c r="W4" s="10" t="s">
        <v>3</v>
      </c>
      <c r="X4" s="8">
        <v>2015</v>
      </c>
      <c r="Y4" s="7">
        <v>2016</v>
      </c>
      <c r="Z4" s="36">
        <v>2017</v>
      </c>
      <c r="AA4" s="234"/>
      <c r="AB4" s="234"/>
      <c r="AC4" s="234"/>
      <c r="AD4" s="235"/>
      <c r="AE4" s="212"/>
      <c r="AF4" s="213"/>
      <c r="AG4" s="213"/>
      <c r="AH4" s="214"/>
    </row>
    <row r="5" spans="1:34" hidden="1">
      <c r="A5" s="156">
        <v>1</v>
      </c>
      <c r="B5" s="194" t="s">
        <v>33</v>
      </c>
      <c r="C5" s="194"/>
      <c r="D5" s="194"/>
      <c r="E5" s="194"/>
      <c r="F5" s="157"/>
      <c r="G5" s="158">
        <f>176950+920114</f>
        <v>1097064</v>
      </c>
      <c r="H5" s="93">
        <f>SUM(H6:H6)</f>
        <v>0</v>
      </c>
      <c r="I5" s="93">
        <f>SUM(I6:I6)</f>
        <v>0</v>
      </c>
      <c r="J5" s="87">
        <f>G5*P5</f>
        <v>0</v>
      </c>
      <c r="K5" s="87">
        <f>SUM(K6)</f>
        <v>0</v>
      </c>
      <c r="L5" s="87">
        <f>SUM(L6)</f>
        <v>0</v>
      </c>
      <c r="M5" s="87">
        <v>513.04999999999995</v>
      </c>
      <c r="N5" s="87" t="s">
        <v>90</v>
      </c>
      <c r="O5" s="128">
        <f>O6</f>
        <v>0</v>
      </c>
      <c r="P5" s="128">
        <f>P6</f>
        <v>0</v>
      </c>
      <c r="Q5" s="119" t="e">
        <f>P5/O5</f>
        <v>#DIV/0!</v>
      </c>
      <c r="R5" s="42">
        <v>247</v>
      </c>
      <c r="S5" s="2">
        <v>530</v>
      </c>
      <c r="T5" s="11">
        <v>728</v>
      </c>
      <c r="U5" s="19">
        <f>J5/G5</f>
        <v>0</v>
      </c>
      <c r="V5" s="20" t="e">
        <f t="shared" ref="V5" si="0">K5/H5</f>
        <v>#DIV/0!</v>
      </c>
      <c r="W5" s="28" t="e">
        <f>L5/I5</f>
        <v>#DIV/0!</v>
      </c>
      <c r="X5" s="38"/>
      <c r="Y5" s="38"/>
      <c r="Z5" s="38"/>
      <c r="AA5" s="192" t="s">
        <v>20</v>
      </c>
      <c r="AB5" s="192"/>
      <c r="AC5" s="192"/>
      <c r="AD5" s="193"/>
      <c r="AE5" s="191" t="s">
        <v>8</v>
      </c>
      <c r="AF5" s="192"/>
      <c r="AG5" s="192"/>
      <c r="AH5" s="193"/>
    </row>
    <row r="6" spans="1:34" hidden="1">
      <c r="A6" s="159"/>
      <c r="B6" s="159"/>
      <c r="C6" s="159"/>
      <c r="D6" s="159"/>
      <c r="E6" s="159"/>
      <c r="F6" s="160"/>
      <c r="G6" s="161"/>
      <c r="H6" s="129"/>
      <c r="I6" s="129"/>
      <c r="J6" s="62"/>
      <c r="K6" s="62"/>
      <c r="L6" s="62"/>
      <c r="M6" s="62"/>
      <c r="N6" s="62"/>
      <c r="O6" s="65"/>
      <c r="P6" s="65"/>
      <c r="Q6" s="120"/>
      <c r="R6" s="42"/>
      <c r="S6" s="2"/>
      <c r="T6" s="11"/>
      <c r="U6" s="19"/>
      <c r="V6" s="20"/>
      <c r="W6" s="28"/>
      <c r="X6" s="38"/>
      <c r="Y6" s="38"/>
      <c r="Z6" s="38"/>
      <c r="AA6" s="49"/>
      <c r="AB6" s="49"/>
      <c r="AC6" s="49"/>
      <c r="AD6" s="50"/>
      <c r="AE6" s="48"/>
      <c r="AF6" s="49"/>
      <c r="AG6" s="49"/>
      <c r="AH6" s="50"/>
    </row>
    <row r="7" spans="1:34">
      <c r="A7" s="156">
        <v>1</v>
      </c>
      <c r="B7" s="194" t="s">
        <v>13</v>
      </c>
      <c r="C7" s="194"/>
      <c r="D7" s="194"/>
      <c r="E7" s="194"/>
      <c r="F7" s="157"/>
      <c r="G7" s="158">
        <v>96368</v>
      </c>
      <c r="H7" s="93">
        <f>H8</f>
        <v>32145</v>
      </c>
      <c r="I7" s="87">
        <f>I8</f>
        <v>15652</v>
      </c>
      <c r="J7" s="87">
        <f>G7*P7</f>
        <v>34304114.250958346</v>
      </c>
      <c r="K7" s="87">
        <f>K8</f>
        <v>10910</v>
      </c>
      <c r="L7" s="87">
        <f>L8</f>
        <v>5571.6419999999998</v>
      </c>
      <c r="M7" s="87">
        <v>380.7</v>
      </c>
      <c r="N7" s="87" t="s">
        <v>91</v>
      </c>
      <c r="O7" s="128">
        <f t="shared" ref="O7:P12" si="1">K7/H7*1000</f>
        <v>339.39959558251672</v>
      </c>
      <c r="P7" s="128">
        <f t="shared" si="1"/>
        <v>355.96997188857654</v>
      </c>
      <c r="Q7" s="119">
        <f t="shared" ref="Q7:Q63" si="2">P7/O7</f>
        <v>1.0488226165314658</v>
      </c>
      <c r="R7" s="42">
        <v>110</v>
      </c>
      <c r="S7" s="2">
        <v>150</v>
      </c>
      <c r="T7" s="11">
        <v>200</v>
      </c>
      <c r="U7" s="19">
        <f t="shared" ref="U7:U64" si="3">J7/G7</f>
        <v>355.96997188857654</v>
      </c>
      <c r="V7" s="20">
        <f t="shared" ref="V7:V54" si="4">K7/H7</f>
        <v>0.3393995955825167</v>
      </c>
      <c r="W7" s="28">
        <f t="shared" ref="W7:W65" si="5">L7/I7</f>
        <v>0.35596997188857654</v>
      </c>
      <c r="X7" s="20"/>
      <c r="Y7" s="20"/>
      <c r="Z7" s="20"/>
      <c r="AA7" s="192" t="s">
        <v>34</v>
      </c>
      <c r="AB7" s="192"/>
      <c r="AC7" s="192"/>
      <c r="AD7" s="193"/>
      <c r="AE7" s="191"/>
      <c r="AF7" s="192"/>
      <c r="AG7" s="192"/>
      <c r="AH7" s="193"/>
    </row>
    <row r="8" spans="1:34" ht="45">
      <c r="A8" s="159"/>
      <c r="B8" s="241"/>
      <c r="C8" s="242"/>
      <c r="D8" s="242"/>
      <c r="E8" s="243"/>
      <c r="F8" s="162" t="s">
        <v>80</v>
      </c>
      <c r="G8" s="65"/>
      <c r="H8" s="62">
        <v>32145</v>
      </c>
      <c r="I8" s="62">
        <v>15652</v>
      </c>
      <c r="J8" s="62"/>
      <c r="K8" s="122">
        <v>10910</v>
      </c>
      <c r="L8" s="122">
        <v>5571.6419999999998</v>
      </c>
      <c r="M8" s="62"/>
      <c r="N8" s="62"/>
      <c r="O8" s="65">
        <f t="shared" si="1"/>
        <v>339.39959558251672</v>
      </c>
      <c r="P8" s="65">
        <f>L8/I8*1000</f>
        <v>355.96997188857654</v>
      </c>
      <c r="Q8" s="120">
        <f>P8/O8</f>
        <v>1.0488226165314658</v>
      </c>
      <c r="R8" s="42"/>
      <c r="S8" s="2"/>
      <c r="T8" s="11"/>
      <c r="U8" s="19"/>
      <c r="V8" s="20"/>
      <c r="W8" s="28"/>
      <c r="X8" s="20"/>
      <c r="Y8" s="20"/>
      <c r="Z8" s="20"/>
      <c r="AA8" s="51"/>
      <c r="AB8" s="51"/>
      <c r="AC8" s="51"/>
      <c r="AD8" s="52"/>
      <c r="AE8" s="53"/>
      <c r="AF8" s="51"/>
      <c r="AG8" s="51"/>
      <c r="AH8" s="52"/>
    </row>
    <row r="9" spans="1:34">
      <c r="A9" s="156">
        <v>2</v>
      </c>
      <c r="B9" s="194" t="s">
        <v>46</v>
      </c>
      <c r="C9" s="194"/>
      <c r="D9" s="194"/>
      <c r="E9" s="194"/>
      <c r="F9" s="157"/>
      <c r="G9" s="158">
        <v>229112</v>
      </c>
      <c r="H9" s="93">
        <f>H10+H11</f>
        <v>121529</v>
      </c>
      <c r="I9" s="87">
        <f>I10+I11</f>
        <v>85870</v>
      </c>
      <c r="J9" s="87">
        <f>G9*P9</f>
        <v>63124931.836497039</v>
      </c>
      <c r="K9" s="87">
        <f>K10+K11</f>
        <v>39318.567000000003</v>
      </c>
      <c r="L9" s="87">
        <f>L10+L11</f>
        <v>23658.9</v>
      </c>
      <c r="M9" s="87">
        <v>303.27999999999997</v>
      </c>
      <c r="N9" s="87">
        <v>205</v>
      </c>
      <c r="O9" s="128">
        <f t="shared" si="1"/>
        <v>323.53238321717453</v>
      </c>
      <c r="P9" s="128">
        <f t="shared" si="1"/>
        <v>275.51997205077447</v>
      </c>
      <c r="Q9" s="152">
        <f t="shared" si="2"/>
        <v>0.85159936483337673</v>
      </c>
      <c r="R9" s="42">
        <v>46</v>
      </c>
      <c r="S9" s="2">
        <v>46</v>
      </c>
      <c r="T9" s="11">
        <v>46</v>
      </c>
      <c r="U9" s="19">
        <f t="shared" si="3"/>
        <v>275.51997205077447</v>
      </c>
      <c r="V9" s="20">
        <f t="shared" si="4"/>
        <v>0.32353238321717454</v>
      </c>
      <c r="W9" s="28">
        <f t="shared" si="5"/>
        <v>0.27551997205077444</v>
      </c>
      <c r="X9" s="20"/>
      <c r="Y9" s="20"/>
      <c r="Z9" s="20"/>
      <c r="AA9" s="216" t="s">
        <v>15</v>
      </c>
      <c r="AB9" s="216"/>
      <c r="AC9" s="216"/>
      <c r="AD9" s="217"/>
      <c r="AE9" s="215" t="s">
        <v>16</v>
      </c>
      <c r="AF9" s="216"/>
      <c r="AG9" s="216"/>
      <c r="AH9" s="217"/>
    </row>
    <row r="10" spans="1:34">
      <c r="A10" s="206"/>
      <c r="B10" s="197"/>
      <c r="C10" s="198"/>
      <c r="D10" s="198"/>
      <c r="E10" s="199"/>
      <c r="F10" s="162" t="s">
        <v>39</v>
      </c>
      <c r="G10" s="128"/>
      <c r="H10" s="62">
        <v>121529</v>
      </c>
      <c r="I10" s="62">
        <v>85870</v>
      </c>
      <c r="J10" s="62"/>
      <c r="K10" s="62">
        <f>39318567/1000</f>
        <v>39318.567000000003</v>
      </c>
      <c r="L10" s="62">
        <v>23658.9</v>
      </c>
      <c r="M10" s="87"/>
      <c r="N10" s="87"/>
      <c r="O10" s="65">
        <f t="shared" si="1"/>
        <v>323.53238321717453</v>
      </c>
      <c r="P10" s="65">
        <f t="shared" si="1"/>
        <v>275.51997205077447</v>
      </c>
      <c r="Q10" s="120">
        <f t="shared" si="2"/>
        <v>0.85159936483337673</v>
      </c>
      <c r="R10" s="42"/>
      <c r="S10" s="2"/>
      <c r="T10" s="11"/>
      <c r="U10" s="19"/>
      <c r="V10" s="20"/>
      <c r="W10" s="28"/>
      <c r="X10" s="20"/>
      <c r="Y10" s="20"/>
      <c r="Z10" s="20"/>
      <c r="AA10" s="219"/>
      <c r="AB10" s="219"/>
      <c r="AC10" s="219"/>
      <c r="AD10" s="220"/>
      <c r="AE10" s="218"/>
      <c r="AF10" s="219"/>
      <c r="AG10" s="219"/>
      <c r="AH10" s="220"/>
    </row>
    <row r="11" spans="1:34">
      <c r="A11" s="208"/>
      <c r="B11" s="203"/>
      <c r="C11" s="204"/>
      <c r="D11" s="204"/>
      <c r="E11" s="205"/>
      <c r="F11" s="160"/>
      <c r="G11" s="128"/>
      <c r="H11" s="62"/>
      <c r="I11" s="62"/>
      <c r="J11" s="62"/>
      <c r="K11" s="62"/>
      <c r="L11" s="62"/>
      <c r="M11" s="87"/>
      <c r="N11" s="87"/>
      <c r="O11" s="65"/>
      <c r="P11" s="65"/>
      <c r="Q11" s="120"/>
      <c r="R11" s="42"/>
      <c r="S11" s="2"/>
      <c r="T11" s="11"/>
      <c r="U11" s="19"/>
      <c r="V11" s="20"/>
      <c r="W11" s="28"/>
      <c r="X11" s="20"/>
      <c r="Y11" s="20"/>
      <c r="Z11" s="20"/>
      <c r="AA11" s="219"/>
      <c r="AB11" s="219"/>
      <c r="AC11" s="219"/>
      <c r="AD11" s="220"/>
      <c r="AE11" s="218"/>
      <c r="AF11" s="219"/>
      <c r="AG11" s="219"/>
      <c r="AH11" s="220"/>
    </row>
    <row r="12" spans="1:34">
      <c r="A12" s="156">
        <v>3</v>
      </c>
      <c r="B12" s="194" t="s">
        <v>47</v>
      </c>
      <c r="C12" s="194"/>
      <c r="D12" s="194"/>
      <c r="E12" s="194"/>
      <c r="F12" s="162" t="s">
        <v>107</v>
      </c>
      <c r="G12" s="158"/>
      <c r="H12" s="94">
        <v>5402.76</v>
      </c>
      <c r="I12" s="87">
        <v>3878.41</v>
      </c>
      <c r="J12" s="87"/>
      <c r="K12" s="87"/>
      <c r="L12" s="87">
        <v>3188.9</v>
      </c>
      <c r="M12" s="87"/>
      <c r="N12" s="87"/>
      <c r="O12" s="128"/>
      <c r="P12" s="65">
        <f t="shared" si="1"/>
        <v>822.21838330656124</v>
      </c>
      <c r="Q12" s="119"/>
      <c r="R12" s="42">
        <v>164</v>
      </c>
      <c r="S12" s="2">
        <v>196</v>
      </c>
      <c r="T12" s="11">
        <v>240</v>
      </c>
      <c r="U12" s="19" t="e">
        <f t="shared" si="3"/>
        <v>#DIV/0!</v>
      </c>
      <c r="V12" s="20">
        <f t="shared" si="4"/>
        <v>0</v>
      </c>
      <c r="W12" s="28">
        <f t="shared" si="5"/>
        <v>0.82221838330656127</v>
      </c>
      <c r="X12" s="20"/>
      <c r="Y12" s="20"/>
      <c r="Z12" s="20"/>
      <c r="AA12" s="222"/>
      <c r="AB12" s="222"/>
      <c r="AC12" s="222"/>
      <c r="AD12" s="223"/>
      <c r="AE12" s="221"/>
      <c r="AF12" s="222"/>
      <c r="AG12" s="222"/>
      <c r="AH12" s="223"/>
    </row>
    <row r="13" spans="1:34">
      <c r="A13" s="156">
        <v>4</v>
      </c>
      <c r="B13" s="194" t="s">
        <v>48</v>
      </c>
      <c r="C13" s="194"/>
      <c r="D13" s="194"/>
      <c r="E13" s="194"/>
      <c r="F13" s="157"/>
      <c r="G13" s="158">
        <v>95358</v>
      </c>
      <c r="H13" s="94">
        <f>SUM(H14:H17)</f>
        <v>32974.19</v>
      </c>
      <c r="I13" s="87">
        <f>SUM(I14:I17)</f>
        <v>16044.3</v>
      </c>
      <c r="J13" s="87">
        <f>G13*P13</f>
        <v>24766548.576877773</v>
      </c>
      <c r="K13" s="87">
        <f>SUM(K14:K17)</f>
        <v>13175.400000000001</v>
      </c>
      <c r="L13" s="87">
        <f>SUM(L14:L17)</f>
        <v>4167.0540000000001</v>
      </c>
      <c r="M13" s="87">
        <v>300.79000000000002</v>
      </c>
      <c r="N13" s="87" t="s">
        <v>92</v>
      </c>
      <c r="O13" s="128">
        <f>K13/H13*1000</f>
        <v>399.56705532417931</v>
      </c>
      <c r="P13" s="128">
        <f>L13/I13*1000</f>
        <v>259.72177034834806</v>
      </c>
      <c r="Q13" s="120">
        <f t="shared" ref="Q13" si="6">P13/O13</f>
        <v>0.65000796959506313</v>
      </c>
      <c r="R13" s="42">
        <v>138</v>
      </c>
      <c r="S13" s="2">
        <v>127</v>
      </c>
      <c r="T13" s="11">
        <v>127</v>
      </c>
      <c r="U13" s="21">
        <f t="shared" si="3"/>
        <v>259.72177034834806</v>
      </c>
      <c r="V13" s="20">
        <f t="shared" si="4"/>
        <v>0.3995670553241793</v>
      </c>
      <c r="W13" s="29">
        <f t="shared" si="5"/>
        <v>0.25972177034834804</v>
      </c>
      <c r="X13" s="20"/>
      <c r="Y13" s="20"/>
      <c r="Z13" s="20"/>
      <c r="AA13" s="247" t="s">
        <v>17</v>
      </c>
      <c r="AB13" s="216"/>
      <c r="AC13" s="216"/>
      <c r="AD13" s="217"/>
      <c r="AE13" s="215" t="s">
        <v>18</v>
      </c>
      <c r="AF13" s="216"/>
      <c r="AG13" s="216"/>
      <c r="AH13" s="217"/>
    </row>
    <row r="14" spans="1:34" ht="15.75" thickBot="1">
      <c r="A14" s="156"/>
      <c r="B14" s="187"/>
      <c r="C14" s="187"/>
      <c r="D14" s="187"/>
      <c r="E14" s="187"/>
      <c r="F14" s="162" t="s">
        <v>65</v>
      </c>
      <c r="G14" s="128"/>
      <c r="H14" s="62">
        <v>16475</v>
      </c>
      <c r="I14" s="62">
        <v>7875</v>
      </c>
      <c r="J14" s="62"/>
      <c r="K14" s="62">
        <f>4391800/1000</f>
        <v>4391.8</v>
      </c>
      <c r="L14" s="62">
        <v>2010.3</v>
      </c>
      <c r="M14" s="87"/>
      <c r="N14" s="87"/>
      <c r="O14" s="65">
        <f>K14/H14*1000</f>
        <v>266.57359635811838</v>
      </c>
      <c r="P14" s="65">
        <f>L14/I14*1000</f>
        <v>255.27619047619049</v>
      </c>
      <c r="Q14" s="120">
        <f t="shared" si="2"/>
        <v>0.95761993672189949</v>
      </c>
      <c r="R14" s="45"/>
      <c r="S14" s="16"/>
      <c r="T14" s="17"/>
      <c r="U14" s="26"/>
      <c r="V14" s="34"/>
      <c r="W14" s="35"/>
      <c r="X14" s="20"/>
      <c r="Y14" s="20"/>
      <c r="Z14" s="20"/>
      <c r="AA14" s="248"/>
      <c r="AB14" s="219"/>
      <c r="AC14" s="219"/>
      <c r="AD14" s="220"/>
      <c r="AE14" s="218"/>
      <c r="AF14" s="219"/>
      <c r="AG14" s="219"/>
      <c r="AH14" s="220"/>
    </row>
    <row r="15" spans="1:34" ht="15.75" thickBot="1">
      <c r="A15" s="156"/>
      <c r="B15" s="187"/>
      <c r="C15" s="187"/>
      <c r="D15" s="187"/>
      <c r="E15" s="187"/>
      <c r="F15" s="162" t="s">
        <v>66</v>
      </c>
      <c r="G15" s="128"/>
      <c r="H15" s="62"/>
      <c r="I15" s="129"/>
      <c r="J15" s="62"/>
      <c r="K15" s="62"/>
      <c r="L15" s="62"/>
      <c r="M15" s="87"/>
      <c r="N15" s="87"/>
      <c r="O15" s="65"/>
      <c r="P15" s="65"/>
      <c r="Q15" s="120"/>
      <c r="R15" s="45"/>
      <c r="S15" s="16"/>
      <c r="T15" s="17"/>
      <c r="U15" s="26"/>
      <c r="V15" s="34"/>
      <c r="W15" s="35"/>
      <c r="X15" s="20"/>
      <c r="Y15" s="20"/>
      <c r="Z15" s="20"/>
      <c r="AA15" s="248"/>
      <c r="AB15" s="219"/>
      <c r="AC15" s="219"/>
      <c r="AD15" s="220"/>
      <c r="AE15" s="218"/>
      <c r="AF15" s="219"/>
      <c r="AG15" s="219"/>
      <c r="AH15" s="220"/>
    </row>
    <row r="16" spans="1:34" ht="15.75" thickBot="1">
      <c r="A16" s="156"/>
      <c r="B16" s="187"/>
      <c r="C16" s="187"/>
      <c r="D16" s="187"/>
      <c r="E16" s="187"/>
      <c r="F16" s="162" t="s">
        <v>67</v>
      </c>
      <c r="G16" s="128"/>
      <c r="H16" s="62">
        <v>13266.15</v>
      </c>
      <c r="I16" s="62">
        <v>6552.78</v>
      </c>
      <c r="J16" s="62"/>
      <c r="K16" s="62">
        <f t="shared" ref="K16:K17" si="7">4391800/1000</f>
        <v>4391.8</v>
      </c>
      <c r="L16" s="62">
        <v>1729.9929999999999</v>
      </c>
      <c r="M16" s="87"/>
      <c r="N16" s="87"/>
      <c r="O16" s="65">
        <f t="shared" ref="O16:O17" si="8">K16/H16*1000</f>
        <v>331.0530937762652</v>
      </c>
      <c r="P16" s="65">
        <f t="shared" ref="P16:P17" si="9">L16/I16*1000</f>
        <v>264.00901602068126</v>
      </c>
      <c r="Q16" s="120">
        <f t="shared" si="2"/>
        <v>0.79748240081123012</v>
      </c>
      <c r="R16" s="45"/>
      <c r="S16" s="16"/>
      <c r="T16" s="17"/>
      <c r="U16" s="26"/>
      <c r="V16" s="34"/>
      <c r="W16" s="35"/>
      <c r="X16" s="20"/>
      <c r="Y16" s="20"/>
      <c r="Z16" s="20"/>
      <c r="AA16" s="248"/>
      <c r="AB16" s="219"/>
      <c r="AC16" s="219"/>
      <c r="AD16" s="220"/>
      <c r="AE16" s="218"/>
      <c r="AF16" s="219"/>
      <c r="AG16" s="219"/>
      <c r="AH16" s="220"/>
    </row>
    <row r="17" spans="1:34" ht="15.75" thickBot="1">
      <c r="A17" s="156"/>
      <c r="B17" s="187"/>
      <c r="C17" s="187"/>
      <c r="D17" s="187"/>
      <c r="E17" s="187"/>
      <c r="F17" s="162" t="s">
        <v>68</v>
      </c>
      <c r="G17" s="128"/>
      <c r="H17" s="62">
        <v>3233.04</v>
      </c>
      <c r="I17" s="62">
        <v>1616.52</v>
      </c>
      <c r="J17" s="62"/>
      <c r="K17" s="62">
        <f t="shared" si="7"/>
        <v>4391.8</v>
      </c>
      <c r="L17" s="62">
        <v>426.76100000000002</v>
      </c>
      <c r="M17" s="87"/>
      <c r="N17" s="87"/>
      <c r="O17" s="65">
        <f t="shared" si="8"/>
        <v>1358.4118971618045</v>
      </c>
      <c r="P17" s="65">
        <f t="shared" si="9"/>
        <v>263.99982678840968</v>
      </c>
      <c r="Q17" s="120">
        <f t="shared" si="2"/>
        <v>0.1943444601302427</v>
      </c>
      <c r="R17" s="45"/>
      <c r="S17" s="16"/>
      <c r="T17" s="17"/>
      <c r="U17" s="26"/>
      <c r="V17" s="34"/>
      <c r="W17" s="35"/>
      <c r="X17" s="20"/>
      <c r="Y17" s="20"/>
      <c r="Z17" s="20"/>
      <c r="AA17" s="248"/>
      <c r="AB17" s="219"/>
      <c r="AC17" s="219"/>
      <c r="AD17" s="220"/>
      <c r="AE17" s="218"/>
      <c r="AF17" s="219"/>
      <c r="AG17" s="219"/>
      <c r="AH17" s="220"/>
    </row>
    <row r="18" spans="1:34">
      <c r="A18" s="156">
        <v>5</v>
      </c>
      <c r="B18" s="194" t="s">
        <v>49</v>
      </c>
      <c r="C18" s="194"/>
      <c r="D18" s="194"/>
      <c r="E18" s="194"/>
      <c r="F18" s="160"/>
      <c r="G18" s="158">
        <v>36934</v>
      </c>
      <c r="H18" s="93">
        <f>H19</f>
        <v>8965</v>
      </c>
      <c r="I18" s="87">
        <f>I19</f>
        <v>4380</v>
      </c>
      <c r="J18" s="87">
        <f>G18*P18</f>
        <v>17228968.947031964</v>
      </c>
      <c r="K18" s="87">
        <f>K19</f>
        <v>3253.4593199999999</v>
      </c>
      <c r="L18" s="87">
        <f>L19</f>
        <v>2043.182</v>
      </c>
      <c r="M18" s="87">
        <v>530.71</v>
      </c>
      <c r="N18" s="87" t="s">
        <v>93</v>
      </c>
      <c r="O18" s="128">
        <f t="shared" ref="O18:O30" si="10">K18/H18*1000</f>
        <v>362.90678416062468</v>
      </c>
      <c r="P18" s="128">
        <f t="shared" ref="P18:P30" si="11">L18/I18*1000</f>
        <v>466.47990867579909</v>
      </c>
      <c r="Q18" s="119">
        <f t="shared" si="2"/>
        <v>1.2853987002605394</v>
      </c>
      <c r="R18" s="42"/>
      <c r="S18" s="2"/>
      <c r="T18" s="11"/>
      <c r="U18" s="19">
        <f t="shared" si="3"/>
        <v>466.47990867579909</v>
      </c>
      <c r="V18" s="20">
        <f t="shared" si="4"/>
        <v>0.36290678416062466</v>
      </c>
      <c r="W18" s="28">
        <f t="shared" si="5"/>
        <v>0.46647990867579908</v>
      </c>
      <c r="X18" s="20"/>
      <c r="Y18" s="20"/>
      <c r="Z18" s="20"/>
      <c r="AA18" s="192" t="s">
        <v>11</v>
      </c>
      <c r="AB18" s="192"/>
      <c r="AC18" s="192"/>
      <c r="AD18" s="193"/>
      <c r="AE18" s="191" t="s">
        <v>12</v>
      </c>
      <c r="AF18" s="192"/>
      <c r="AG18" s="192"/>
      <c r="AH18" s="193"/>
    </row>
    <row r="19" spans="1:34">
      <c r="A19" s="156"/>
      <c r="B19" s="251"/>
      <c r="C19" s="252"/>
      <c r="D19" s="252"/>
      <c r="E19" s="253"/>
      <c r="F19" s="162" t="s">
        <v>75</v>
      </c>
      <c r="G19" s="128"/>
      <c r="H19" s="62">
        <v>8965</v>
      </c>
      <c r="I19" s="62">
        <v>4380</v>
      </c>
      <c r="J19" s="62"/>
      <c r="K19" s="62">
        <f>3253459.32/1000</f>
        <v>3253.4593199999999</v>
      </c>
      <c r="L19" s="62">
        <v>2043.182</v>
      </c>
      <c r="M19" s="87"/>
      <c r="N19" s="87"/>
      <c r="O19" s="65">
        <f t="shared" si="10"/>
        <v>362.90678416062468</v>
      </c>
      <c r="P19" s="65">
        <f t="shared" si="11"/>
        <v>466.47990867579909</v>
      </c>
      <c r="Q19" s="120">
        <f>P19/O19</f>
        <v>1.2853987002605394</v>
      </c>
      <c r="R19" s="42"/>
      <c r="S19" s="2"/>
      <c r="T19" s="11"/>
      <c r="U19" s="19"/>
      <c r="V19" s="20"/>
      <c r="W19" s="28"/>
      <c r="X19" s="20"/>
      <c r="Y19" s="20"/>
      <c r="Z19" s="20"/>
      <c r="AA19" s="82"/>
      <c r="AB19" s="82"/>
      <c r="AC19" s="82"/>
      <c r="AD19" s="83"/>
      <c r="AE19" s="81"/>
      <c r="AF19" s="82"/>
      <c r="AG19" s="82"/>
      <c r="AH19" s="83"/>
    </row>
    <row r="20" spans="1:34">
      <c r="A20" s="156">
        <v>6</v>
      </c>
      <c r="B20" s="194" t="s">
        <v>50</v>
      </c>
      <c r="C20" s="194"/>
      <c r="D20" s="194"/>
      <c r="E20" s="194"/>
      <c r="F20" s="160"/>
      <c r="G20" s="158">
        <v>37067</v>
      </c>
      <c r="H20" s="93">
        <f>SUM(H21:H22)</f>
        <v>16948.669999999998</v>
      </c>
      <c r="I20" s="87">
        <f>SUM(I21:I22)</f>
        <v>8037.58</v>
      </c>
      <c r="J20" s="87">
        <f t="shared" ref="J20" si="12">G20*P20</f>
        <v>17520537.572254337</v>
      </c>
      <c r="K20" s="87">
        <f>SUM(K21:K22)</f>
        <v>6749.0472499999996</v>
      </c>
      <c r="L20" s="87">
        <f>SUM(L21:L22)</f>
        <v>3799.1400000000003</v>
      </c>
      <c r="M20" s="87">
        <v>437.51</v>
      </c>
      <c r="N20" s="87" t="s">
        <v>94</v>
      </c>
      <c r="O20" s="128">
        <f t="shared" si="10"/>
        <v>398.20512464989883</v>
      </c>
      <c r="P20" s="128">
        <f t="shared" si="11"/>
        <v>472.67212270359988</v>
      </c>
      <c r="Q20" s="119">
        <f t="shared" si="2"/>
        <v>1.1870066291064745</v>
      </c>
      <c r="R20" s="42">
        <v>94</v>
      </c>
      <c r="S20" s="2">
        <v>94</v>
      </c>
      <c r="T20" s="11">
        <v>94</v>
      </c>
      <c r="U20" s="19">
        <f t="shared" si="3"/>
        <v>472.67212270359988</v>
      </c>
      <c r="V20" s="20">
        <f t="shared" si="4"/>
        <v>0.39820512464989882</v>
      </c>
      <c r="W20" s="28">
        <f t="shared" si="5"/>
        <v>0.47267212270359987</v>
      </c>
      <c r="X20" s="20"/>
      <c r="Y20" s="20"/>
      <c r="Z20" s="20"/>
      <c r="AA20" s="192" t="s">
        <v>13</v>
      </c>
      <c r="AB20" s="192"/>
      <c r="AC20" s="192"/>
      <c r="AD20" s="193"/>
      <c r="AE20" s="224" t="s">
        <v>4</v>
      </c>
      <c r="AF20" s="225"/>
      <c r="AG20" s="225"/>
      <c r="AH20" s="226"/>
    </row>
    <row r="21" spans="1:34">
      <c r="A21" s="156"/>
      <c r="B21" s="169"/>
      <c r="C21" s="170"/>
      <c r="D21" s="170"/>
      <c r="E21" s="171"/>
      <c r="F21" s="162" t="s">
        <v>69</v>
      </c>
      <c r="G21" s="128"/>
      <c r="H21" s="62">
        <v>7760</v>
      </c>
      <c r="I21" s="62">
        <v>3540</v>
      </c>
      <c r="J21" s="62"/>
      <c r="K21" s="62">
        <f>2192200/1000</f>
        <v>2192.1999999999998</v>
      </c>
      <c r="L21" s="62">
        <v>1000.05</v>
      </c>
      <c r="M21" s="87"/>
      <c r="N21" s="87"/>
      <c r="O21" s="65">
        <f t="shared" si="10"/>
        <v>282.5</v>
      </c>
      <c r="P21" s="65">
        <f t="shared" si="11"/>
        <v>282.5</v>
      </c>
      <c r="Q21" s="120">
        <f t="shared" ref="Q21:Q23" si="13">P21/O21</f>
        <v>1</v>
      </c>
      <c r="R21" s="42"/>
      <c r="S21" s="2"/>
      <c r="T21" s="11"/>
      <c r="U21" s="19"/>
      <c r="V21" s="20"/>
      <c r="W21" s="28"/>
      <c r="X21" s="20"/>
      <c r="Y21" s="20"/>
      <c r="Z21" s="20"/>
      <c r="AA21" s="76"/>
      <c r="AB21" s="76"/>
      <c r="AC21" s="76"/>
      <c r="AD21" s="77"/>
      <c r="AE21" s="78"/>
      <c r="AF21" s="79"/>
      <c r="AG21" s="79"/>
      <c r="AH21" s="80"/>
    </row>
    <row r="22" spans="1:34" ht="30">
      <c r="A22" s="156"/>
      <c r="B22" s="169"/>
      <c r="C22" s="170"/>
      <c r="D22" s="170"/>
      <c r="E22" s="171"/>
      <c r="F22" s="162" t="s">
        <v>70</v>
      </c>
      <c r="G22" s="128"/>
      <c r="H22" s="62">
        <v>9188.67</v>
      </c>
      <c r="I22" s="62">
        <v>4497.58</v>
      </c>
      <c r="J22" s="62"/>
      <c r="K22" s="62">
        <f>4556847.25/1000</f>
        <v>4556.8472499999998</v>
      </c>
      <c r="L22" s="62">
        <v>2799.09</v>
      </c>
      <c r="M22" s="87"/>
      <c r="N22" s="87"/>
      <c r="O22" s="65">
        <f t="shared" si="10"/>
        <v>495.92022022773699</v>
      </c>
      <c r="P22" s="65">
        <f t="shared" si="11"/>
        <v>622.35468852138263</v>
      </c>
      <c r="Q22" s="120">
        <f t="shared" si="13"/>
        <v>1.2549492098458583</v>
      </c>
      <c r="R22" s="42"/>
      <c r="S22" s="2"/>
      <c r="T22" s="11"/>
      <c r="U22" s="19"/>
      <c r="V22" s="20"/>
      <c r="W22" s="28"/>
      <c r="X22" s="20"/>
      <c r="Y22" s="20"/>
      <c r="Z22" s="20"/>
      <c r="AA22" s="76"/>
      <c r="AB22" s="76"/>
      <c r="AC22" s="76"/>
      <c r="AD22" s="77"/>
      <c r="AE22" s="78"/>
      <c r="AF22" s="79"/>
      <c r="AG22" s="79"/>
      <c r="AH22" s="80"/>
    </row>
    <row r="23" spans="1:34">
      <c r="A23" s="156">
        <v>7</v>
      </c>
      <c r="B23" s="194" t="s">
        <v>17</v>
      </c>
      <c r="C23" s="194"/>
      <c r="D23" s="194"/>
      <c r="E23" s="194"/>
      <c r="F23" s="160"/>
      <c r="G23" s="158">
        <v>40247</v>
      </c>
      <c r="H23" s="93">
        <f>H24</f>
        <v>2332.451</v>
      </c>
      <c r="I23" s="87">
        <f>I24</f>
        <v>2319.8539999999998</v>
      </c>
      <c r="J23" s="87">
        <f>G23*P23</f>
        <v>10404157.287484473</v>
      </c>
      <c r="K23" s="87">
        <f>K24</f>
        <v>600</v>
      </c>
      <c r="L23" s="87">
        <f>L24</f>
        <v>599.70000000000005</v>
      </c>
      <c r="M23" s="87">
        <v>206.13</v>
      </c>
      <c r="N23" s="87" t="s">
        <v>95</v>
      </c>
      <c r="O23" s="128">
        <f t="shared" si="10"/>
        <v>257.240130660837</v>
      </c>
      <c r="P23" s="128">
        <f t="shared" si="11"/>
        <v>258.50764746402149</v>
      </c>
      <c r="Q23" s="119">
        <f t="shared" si="13"/>
        <v>1.0049273680585074</v>
      </c>
      <c r="R23" s="42"/>
      <c r="S23" s="2"/>
      <c r="T23" s="11"/>
      <c r="U23" s="19">
        <f t="shared" si="3"/>
        <v>258.50764746402149</v>
      </c>
      <c r="V23" s="20"/>
      <c r="W23" s="28"/>
      <c r="X23" s="20"/>
      <c r="Y23" s="20"/>
      <c r="Z23" s="20"/>
      <c r="AA23" s="192" t="s">
        <v>25</v>
      </c>
      <c r="AB23" s="192"/>
      <c r="AC23" s="192"/>
      <c r="AD23" s="193"/>
      <c r="AE23" s="191" t="s">
        <v>24</v>
      </c>
      <c r="AF23" s="192"/>
      <c r="AG23" s="192"/>
      <c r="AH23" s="193"/>
    </row>
    <row r="24" spans="1:34" ht="30">
      <c r="A24" s="156"/>
      <c r="B24" s="251"/>
      <c r="C24" s="252"/>
      <c r="D24" s="252"/>
      <c r="E24" s="253"/>
      <c r="F24" s="162" t="s">
        <v>82</v>
      </c>
      <c r="G24" s="128"/>
      <c r="H24" s="62">
        <v>2332.451</v>
      </c>
      <c r="I24" s="62">
        <v>2319.8539999999998</v>
      </c>
      <c r="J24" s="62"/>
      <c r="K24" s="62">
        <f>600000/1000</f>
        <v>600</v>
      </c>
      <c r="L24" s="62">
        <v>599.70000000000005</v>
      </c>
      <c r="M24" s="87"/>
      <c r="N24" s="87"/>
      <c r="O24" s="65">
        <f t="shared" si="10"/>
        <v>257.240130660837</v>
      </c>
      <c r="P24" s="65">
        <f t="shared" si="11"/>
        <v>258.50764746402149</v>
      </c>
      <c r="Q24" s="120">
        <f>P24/O24</f>
        <v>1.0049273680585074</v>
      </c>
      <c r="R24" s="42">
        <v>340</v>
      </c>
      <c r="S24" s="2">
        <v>198</v>
      </c>
      <c r="T24" s="11">
        <v>205</v>
      </c>
      <c r="U24" s="19" t="e">
        <f t="shared" si="3"/>
        <v>#DIV/0!</v>
      </c>
      <c r="V24" s="20">
        <f t="shared" si="4"/>
        <v>0.25724013066083701</v>
      </c>
      <c r="W24" s="28">
        <f t="shared" si="5"/>
        <v>0.25850764746402149</v>
      </c>
      <c r="X24" s="20"/>
      <c r="Y24" s="20"/>
      <c r="Z24" s="20"/>
      <c r="AA24" s="192" t="s">
        <v>40</v>
      </c>
      <c r="AB24" s="192"/>
      <c r="AC24" s="192"/>
      <c r="AD24" s="193"/>
      <c r="AE24" s="191" t="s">
        <v>35</v>
      </c>
      <c r="AF24" s="192"/>
      <c r="AG24" s="192"/>
      <c r="AH24" s="193"/>
    </row>
    <row r="25" spans="1:34">
      <c r="A25" s="156"/>
      <c r="B25" s="194" t="s">
        <v>23</v>
      </c>
      <c r="C25" s="194"/>
      <c r="D25" s="194"/>
      <c r="E25" s="194"/>
      <c r="F25" s="160"/>
      <c r="G25" s="158">
        <v>76069</v>
      </c>
      <c r="H25" s="93">
        <f>H26+H27</f>
        <v>429853</v>
      </c>
      <c r="I25" s="87">
        <f>I26+I27</f>
        <v>208153</v>
      </c>
      <c r="J25" s="87">
        <f>G25*P25</f>
        <v>23012377.230210472</v>
      </c>
      <c r="K25" s="87">
        <f>K26+K27</f>
        <v>107905.99</v>
      </c>
      <c r="L25" s="87">
        <f>L26+L27</f>
        <v>62970.400000000001</v>
      </c>
      <c r="M25" s="87">
        <v>317.94</v>
      </c>
      <c r="N25" s="87">
        <v>304.45999999999998</v>
      </c>
      <c r="O25" s="128">
        <f t="shared" si="10"/>
        <v>251.02998001642425</v>
      </c>
      <c r="P25" s="128">
        <f t="shared" si="11"/>
        <v>302.51978112253971</v>
      </c>
      <c r="Q25" s="119">
        <f>P25/O25</f>
        <v>1.2051141505199763</v>
      </c>
      <c r="R25" s="42"/>
      <c r="S25" s="2"/>
      <c r="T25" s="11"/>
      <c r="U25" s="19"/>
      <c r="V25" s="20"/>
      <c r="W25" s="28"/>
      <c r="X25" s="20"/>
      <c r="Y25" s="20"/>
      <c r="Z25" s="20"/>
      <c r="AA25" s="89"/>
      <c r="AB25" s="89"/>
      <c r="AC25" s="89"/>
      <c r="AD25" s="90"/>
      <c r="AE25" s="88"/>
      <c r="AF25" s="89"/>
      <c r="AG25" s="89"/>
      <c r="AH25" s="90"/>
    </row>
    <row r="26" spans="1:34">
      <c r="A26" s="156"/>
      <c r="B26" s="197"/>
      <c r="C26" s="198"/>
      <c r="D26" s="198"/>
      <c r="E26" s="199"/>
      <c r="F26" s="162"/>
      <c r="G26" s="128"/>
      <c r="H26" s="62"/>
      <c r="I26" s="62"/>
      <c r="J26" s="62"/>
      <c r="K26" s="62"/>
      <c r="L26" s="62"/>
      <c r="M26" s="87"/>
      <c r="N26" s="87"/>
      <c r="O26" s="65"/>
      <c r="P26" s="65"/>
      <c r="Q26" s="120"/>
      <c r="R26" s="42"/>
      <c r="S26" s="2"/>
      <c r="T26" s="11"/>
      <c r="U26" s="19"/>
      <c r="V26" s="20"/>
      <c r="W26" s="28"/>
      <c r="X26" s="20"/>
      <c r="Y26" s="20"/>
      <c r="Z26" s="20"/>
      <c r="AA26" s="89"/>
      <c r="AB26" s="89"/>
      <c r="AC26" s="89"/>
      <c r="AD26" s="90"/>
      <c r="AE26" s="88"/>
      <c r="AF26" s="89"/>
      <c r="AG26" s="89"/>
      <c r="AH26" s="90"/>
    </row>
    <row r="27" spans="1:34">
      <c r="A27" s="156"/>
      <c r="B27" s="203"/>
      <c r="C27" s="204"/>
      <c r="D27" s="204"/>
      <c r="E27" s="205"/>
      <c r="F27" s="162" t="s">
        <v>83</v>
      </c>
      <c r="G27" s="128"/>
      <c r="H27" s="62">
        <v>429853</v>
      </c>
      <c r="I27" s="62">
        <v>208153</v>
      </c>
      <c r="J27" s="62"/>
      <c r="K27" s="62">
        <f>107905990/1000</f>
        <v>107905.99</v>
      </c>
      <c r="L27" s="62">
        <v>62970.400000000001</v>
      </c>
      <c r="M27" s="87"/>
      <c r="N27" s="87"/>
      <c r="O27" s="65">
        <f t="shared" si="10"/>
        <v>251.02998001642425</v>
      </c>
      <c r="P27" s="65">
        <f t="shared" si="11"/>
        <v>302.51978112253971</v>
      </c>
      <c r="Q27" s="120">
        <f>P27/O27</f>
        <v>1.2051141505199763</v>
      </c>
      <c r="R27" s="42"/>
      <c r="S27" s="2"/>
      <c r="T27" s="11"/>
      <c r="U27" s="19"/>
      <c r="V27" s="20"/>
      <c r="W27" s="28"/>
      <c r="X27" s="20"/>
      <c r="Y27" s="20"/>
      <c r="Z27" s="20"/>
      <c r="AA27" s="89"/>
      <c r="AB27" s="89"/>
      <c r="AC27" s="89"/>
      <c r="AD27" s="90"/>
      <c r="AE27" s="88"/>
      <c r="AF27" s="89"/>
      <c r="AG27" s="89"/>
      <c r="AH27" s="90"/>
    </row>
    <row r="28" spans="1:34" hidden="1">
      <c r="A28" s="156">
        <v>12</v>
      </c>
      <c r="B28" s="194" t="s">
        <v>51</v>
      </c>
      <c r="C28" s="194"/>
      <c r="D28" s="194"/>
      <c r="E28" s="194"/>
      <c r="F28" s="157"/>
      <c r="G28" s="158">
        <v>16336</v>
      </c>
      <c r="H28" s="93">
        <f>H29</f>
        <v>0</v>
      </c>
      <c r="I28" s="87">
        <f>I29</f>
        <v>0</v>
      </c>
      <c r="J28" s="87">
        <f>G28*M28</f>
        <v>4913705.4400000004</v>
      </c>
      <c r="K28" s="92">
        <f>K29</f>
        <v>0</v>
      </c>
      <c r="L28" s="92">
        <f>L29</f>
        <v>0</v>
      </c>
      <c r="M28" s="87">
        <v>300.79000000000002</v>
      </c>
      <c r="N28" s="87" t="s">
        <v>96</v>
      </c>
      <c r="O28" s="128" t="e">
        <f t="shared" si="10"/>
        <v>#DIV/0!</v>
      </c>
      <c r="P28" s="128" t="e">
        <f t="shared" si="11"/>
        <v>#DIV/0!</v>
      </c>
      <c r="Q28" s="119" t="e">
        <f t="shared" si="2"/>
        <v>#DIV/0!</v>
      </c>
      <c r="R28" s="42">
        <v>22</v>
      </c>
      <c r="S28" s="2">
        <v>22</v>
      </c>
      <c r="T28" s="11">
        <v>23</v>
      </c>
      <c r="U28" s="19">
        <f t="shared" si="3"/>
        <v>300.79000000000002</v>
      </c>
      <c r="V28" s="20" t="e">
        <f t="shared" si="4"/>
        <v>#DIV/0!</v>
      </c>
      <c r="W28" s="28" t="e">
        <f t="shared" si="5"/>
        <v>#DIV/0!</v>
      </c>
      <c r="X28" s="20"/>
      <c r="Y28" s="20"/>
      <c r="Z28" s="20"/>
      <c r="AA28" s="250" t="s">
        <v>31</v>
      </c>
      <c r="AB28" s="192"/>
      <c r="AC28" s="192"/>
      <c r="AD28" s="193"/>
      <c r="AE28" s="191" t="s">
        <v>32</v>
      </c>
      <c r="AF28" s="192"/>
      <c r="AG28" s="192"/>
      <c r="AH28" s="193"/>
    </row>
    <row r="29" spans="1:34">
      <c r="A29" s="159"/>
      <c r="B29" s="227"/>
      <c r="C29" s="227"/>
      <c r="D29" s="227"/>
      <c r="E29" s="227"/>
      <c r="F29" s="162"/>
      <c r="G29" s="65"/>
      <c r="H29" s="62"/>
      <c r="I29" s="62"/>
      <c r="J29" s="64"/>
      <c r="K29" s="64"/>
      <c r="L29" s="64"/>
      <c r="M29" s="64"/>
      <c r="N29" s="64"/>
      <c r="O29" s="128"/>
      <c r="P29" s="128"/>
      <c r="Q29" s="120"/>
      <c r="R29" s="42"/>
      <c r="S29" s="2"/>
      <c r="T29" s="11"/>
      <c r="U29" s="19"/>
      <c r="V29" s="20"/>
      <c r="W29" s="28"/>
      <c r="X29" s="20"/>
      <c r="Y29" s="20"/>
      <c r="Z29" s="20"/>
      <c r="AA29" s="55"/>
      <c r="AB29" s="55"/>
      <c r="AC29" s="55"/>
      <c r="AD29" s="56"/>
      <c r="AE29" s="54"/>
      <c r="AF29" s="55"/>
      <c r="AG29" s="55"/>
      <c r="AH29" s="56"/>
    </row>
    <row r="30" spans="1:34">
      <c r="A30" s="156">
        <v>8</v>
      </c>
      <c r="B30" s="194" t="s">
        <v>31</v>
      </c>
      <c r="C30" s="194"/>
      <c r="D30" s="194"/>
      <c r="E30" s="194"/>
      <c r="F30" s="157"/>
      <c r="G30" s="158">
        <v>46959</v>
      </c>
      <c r="H30" s="93">
        <f>H31</f>
        <v>24958</v>
      </c>
      <c r="I30" s="87">
        <f>I31</f>
        <v>13175.98</v>
      </c>
      <c r="J30" s="92">
        <f>G30*P30</f>
        <v>15873812.653783629</v>
      </c>
      <c r="K30" s="87">
        <f>K31</f>
        <v>8419.08</v>
      </c>
      <c r="L30" s="87">
        <f>L31</f>
        <v>4453.95</v>
      </c>
      <c r="M30" s="87">
        <v>393.76</v>
      </c>
      <c r="N30" s="87" t="s">
        <v>97</v>
      </c>
      <c r="O30" s="128">
        <f t="shared" si="10"/>
        <v>337.32991425594997</v>
      </c>
      <c r="P30" s="128">
        <f t="shared" si="11"/>
        <v>338.03557686031706</v>
      </c>
      <c r="Q30" s="119">
        <f t="shared" si="2"/>
        <v>1.0020919063935483</v>
      </c>
      <c r="R30" s="42">
        <v>12300</v>
      </c>
      <c r="S30" s="2">
        <v>12305</v>
      </c>
      <c r="T30" s="11">
        <v>12315</v>
      </c>
      <c r="U30" s="19">
        <f t="shared" si="3"/>
        <v>338.03557686031706</v>
      </c>
      <c r="V30" s="20">
        <f t="shared" si="4"/>
        <v>0.33732991425594999</v>
      </c>
      <c r="W30" s="28">
        <f t="shared" si="5"/>
        <v>0.33803557686031704</v>
      </c>
      <c r="X30" s="20"/>
      <c r="Y30" s="20"/>
      <c r="Z30" s="20"/>
      <c r="AA30" s="192" t="s">
        <v>33</v>
      </c>
      <c r="AB30" s="192"/>
      <c r="AC30" s="192"/>
      <c r="AD30" s="193"/>
      <c r="AE30" s="191">
        <f>F30</f>
        <v>0</v>
      </c>
      <c r="AF30" s="192"/>
      <c r="AG30" s="192"/>
      <c r="AH30" s="193"/>
    </row>
    <row r="31" spans="1:34">
      <c r="A31" s="156"/>
      <c r="B31" s="187"/>
      <c r="C31" s="187"/>
      <c r="D31" s="187"/>
      <c r="E31" s="187"/>
      <c r="F31" s="162" t="s">
        <v>110</v>
      </c>
      <c r="G31" s="128"/>
      <c r="H31" s="62">
        <v>24958</v>
      </c>
      <c r="I31" s="62">
        <v>13175.98</v>
      </c>
      <c r="J31" s="92"/>
      <c r="K31" s="62">
        <v>8419.08</v>
      </c>
      <c r="L31" s="62">
        <v>4453.95</v>
      </c>
      <c r="M31" s="87"/>
      <c r="N31" s="87"/>
      <c r="O31" s="128"/>
      <c r="P31" s="128"/>
      <c r="Q31" s="119"/>
      <c r="R31" s="42"/>
      <c r="S31" s="2"/>
      <c r="T31" s="11"/>
      <c r="U31" s="19"/>
      <c r="V31" s="20"/>
      <c r="W31" s="28"/>
      <c r="X31" s="20"/>
      <c r="Y31" s="20"/>
      <c r="Z31" s="20"/>
      <c r="AA31" s="112"/>
      <c r="AB31" s="112"/>
      <c r="AC31" s="112"/>
      <c r="AD31" s="113"/>
      <c r="AE31" s="111"/>
      <c r="AF31" s="112"/>
      <c r="AG31" s="112"/>
      <c r="AH31" s="113"/>
    </row>
    <row r="32" spans="1:34" ht="30">
      <c r="A32" s="156">
        <v>9</v>
      </c>
      <c r="B32" s="194" t="s">
        <v>52</v>
      </c>
      <c r="C32" s="194"/>
      <c r="D32" s="194"/>
      <c r="E32" s="194"/>
      <c r="F32" s="162" t="s">
        <v>16</v>
      </c>
      <c r="G32" s="158">
        <v>54078</v>
      </c>
      <c r="H32" s="93">
        <v>15504.2</v>
      </c>
      <c r="I32" s="87">
        <f>8808.7+780</f>
        <v>9588.7000000000007</v>
      </c>
      <c r="J32" s="92">
        <f>G30*P32</f>
        <v>11868721.10817942</v>
      </c>
      <c r="K32" s="87">
        <f>4061326/1000</f>
        <v>4061.326</v>
      </c>
      <c r="L32" s="87">
        <v>2423.5100000000002</v>
      </c>
      <c r="M32" s="87">
        <v>334.01</v>
      </c>
      <c r="N32" s="87" t="s">
        <v>98</v>
      </c>
      <c r="O32" s="128">
        <f t="shared" ref="O32:P34" si="14">K32/H32*1000</f>
        <v>261.95005224390809</v>
      </c>
      <c r="P32" s="128">
        <f t="shared" si="14"/>
        <v>252.74646198129048</v>
      </c>
      <c r="Q32" s="119">
        <f t="shared" si="2"/>
        <v>0.96486509476223381</v>
      </c>
      <c r="R32" s="42">
        <v>483</v>
      </c>
      <c r="S32" s="2">
        <v>483</v>
      </c>
      <c r="T32" s="11">
        <v>483</v>
      </c>
      <c r="U32" s="19">
        <f t="shared" si="3"/>
        <v>219.4741134690525</v>
      </c>
      <c r="V32" s="20">
        <f t="shared" si="4"/>
        <v>0.2619500522439081</v>
      </c>
      <c r="W32" s="28">
        <f t="shared" si="5"/>
        <v>0.25274646198129047</v>
      </c>
      <c r="X32" s="20"/>
      <c r="Y32" s="20"/>
      <c r="Z32" s="20"/>
      <c r="AA32" s="192" t="s">
        <v>36</v>
      </c>
      <c r="AB32" s="192"/>
      <c r="AC32" s="192"/>
      <c r="AD32" s="193"/>
      <c r="AE32" s="191" t="s">
        <v>37</v>
      </c>
      <c r="AF32" s="192"/>
      <c r="AG32" s="192"/>
      <c r="AH32" s="193"/>
    </row>
    <row r="33" spans="1:34" ht="15" customHeight="1">
      <c r="A33" s="156">
        <v>10</v>
      </c>
      <c r="B33" s="246" t="s">
        <v>53</v>
      </c>
      <c r="C33" s="246"/>
      <c r="D33" s="246"/>
      <c r="E33" s="246"/>
      <c r="F33" s="160"/>
      <c r="G33" s="158">
        <v>36382</v>
      </c>
      <c r="H33" s="93">
        <f>H34+H36</f>
        <v>18137.47</v>
      </c>
      <c r="I33" s="87">
        <f>I34+I35</f>
        <v>6991.87</v>
      </c>
      <c r="J33" s="92">
        <f>G33*P33</f>
        <v>9406769.0952491947</v>
      </c>
      <c r="K33" s="92">
        <f>K34+K36</f>
        <v>5004.5</v>
      </c>
      <c r="L33" s="92">
        <f>L34+L35</f>
        <v>1807.7869999999998</v>
      </c>
      <c r="M33" s="87">
        <v>295.92</v>
      </c>
      <c r="N33" s="87" t="s">
        <v>99</v>
      </c>
      <c r="O33" s="128">
        <f t="shared" si="14"/>
        <v>275.92051151566346</v>
      </c>
      <c r="P33" s="128">
        <f t="shared" si="14"/>
        <v>258.55557955167927</v>
      </c>
      <c r="Q33" s="119">
        <f t="shared" si="2"/>
        <v>0.93706545458111612</v>
      </c>
      <c r="R33" s="42"/>
      <c r="S33" s="2"/>
      <c r="T33" s="11"/>
      <c r="U33" s="19">
        <f t="shared" si="3"/>
        <v>258.55557955167927</v>
      </c>
      <c r="V33" s="20"/>
      <c r="W33" s="28"/>
      <c r="X33" s="20"/>
      <c r="Y33" s="20"/>
      <c r="Z33" s="20"/>
      <c r="AA33" s="225" t="s">
        <v>26</v>
      </c>
      <c r="AB33" s="225"/>
      <c r="AC33" s="225"/>
      <c r="AD33" s="226"/>
      <c r="AE33" s="191" t="s">
        <v>22</v>
      </c>
      <c r="AF33" s="192"/>
      <c r="AG33" s="192"/>
      <c r="AH33" s="193"/>
    </row>
    <row r="34" spans="1:34" ht="15" customHeight="1">
      <c r="A34" s="156"/>
      <c r="B34" s="249"/>
      <c r="C34" s="249"/>
      <c r="D34" s="249"/>
      <c r="E34" s="249"/>
      <c r="F34" s="162" t="s">
        <v>62</v>
      </c>
      <c r="G34" s="128"/>
      <c r="H34" s="62">
        <v>18137.47</v>
      </c>
      <c r="I34" s="62">
        <v>5665.12</v>
      </c>
      <c r="J34" s="64"/>
      <c r="K34" s="64">
        <f>5004500/1000</f>
        <v>5004.5</v>
      </c>
      <c r="L34" s="64">
        <v>1705.9939999999999</v>
      </c>
      <c r="M34" s="64"/>
      <c r="N34" s="64"/>
      <c r="O34" s="65">
        <f t="shared" si="14"/>
        <v>275.92051151566346</v>
      </c>
      <c r="P34" s="65">
        <f t="shared" si="14"/>
        <v>301.13995820035581</v>
      </c>
      <c r="Q34" s="120">
        <f t="shared" si="2"/>
        <v>1.0914011305145783</v>
      </c>
      <c r="R34" s="42"/>
      <c r="S34" s="2"/>
      <c r="T34" s="11"/>
      <c r="U34" s="21"/>
      <c r="V34" s="20"/>
      <c r="W34" s="29"/>
      <c r="X34" s="20"/>
      <c r="Y34" s="20"/>
      <c r="Z34" s="20"/>
      <c r="AA34" s="60"/>
      <c r="AB34" s="60"/>
      <c r="AC34" s="60"/>
      <c r="AD34" s="61"/>
      <c r="AE34" s="57"/>
      <c r="AF34" s="58"/>
      <c r="AG34" s="58"/>
      <c r="AH34" s="59"/>
    </row>
    <row r="35" spans="1:34" ht="15" customHeight="1">
      <c r="A35" s="156"/>
      <c r="B35" s="257"/>
      <c r="C35" s="258"/>
      <c r="D35" s="258"/>
      <c r="E35" s="259"/>
      <c r="F35" s="162" t="s">
        <v>109</v>
      </c>
      <c r="G35" s="128"/>
      <c r="H35" s="62">
        <v>2830</v>
      </c>
      <c r="I35" s="62">
        <v>1326.75</v>
      </c>
      <c r="J35" s="64"/>
      <c r="K35" s="64">
        <f t="shared" ref="K35" si="15">5004500/1000</f>
        <v>5004.5</v>
      </c>
      <c r="L35" s="64">
        <v>101.79300000000001</v>
      </c>
      <c r="M35" s="64"/>
      <c r="N35" s="64"/>
      <c r="O35" s="65">
        <f t="shared" ref="O35:P35" si="16">K35/H35*1000</f>
        <v>1768.3745583038869</v>
      </c>
      <c r="P35" s="65">
        <f t="shared" si="16"/>
        <v>76.723572639909563</v>
      </c>
      <c r="Q35" s="120">
        <f t="shared" si="2"/>
        <v>4.3386494269346397E-2</v>
      </c>
      <c r="R35" s="42"/>
      <c r="S35" s="2"/>
      <c r="T35" s="11"/>
      <c r="U35" s="21"/>
      <c r="V35" s="20"/>
      <c r="W35" s="29"/>
      <c r="X35" s="20"/>
      <c r="Y35" s="20"/>
      <c r="Z35" s="20"/>
      <c r="AA35" s="114"/>
      <c r="AB35" s="114"/>
      <c r="AC35" s="114"/>
      <c r="AD35" s="115"/>
      <c r="AE35" s="111"/>
      <c r="AF35" s="112"/>
      <c r="AG35" s="112"/>
      <c r="AH35" s="113"/>
    </row>
    <row r="36" spans="1:34" ht="15" customHeight="1">
      <c r="A36" s="156"/>
      <c r="B36" s="249"/>
      <c r="C36" s="249"/>
      <c r="D36" s="249"/>
      <c r="E36" s="249"/>
      <c r="F36" s="162"/>
      <c r="G36" s="163"/>
      <c r="H36" s="63"/>
      <c r="I36" s="164"/>
      <c r="J36" s="74"/>
      <c r="K36" s="64"/>
      <c r="L36" s="74"/>
      <c r="M36" s="74"/>
      <c r="N36" s="74"/>
      <c r="O36" s="65"/>
      <c r="P36" s="65"/>
      <c r="Q36" s="120"/>
      <c r="R36" s="42"/>
      <c r="S36" s="2"/>
      <c r="T36" s="11"/>
      <c r="U36" s="21"/>
      <c r="V36" s="20"/>
      <c r="W36" s="29"/>
      <c r="X36" s="20"/>
      <c r="Y36" s="20"/>
      <c r="Z36" s="20"/>
      <c r="AA36" s="68"/>
      <c r="AB36" s="68"/>
      <c r="AC36" s="68"/>
      <c r="AD36" s="69"/>
      <c r="AE36" s="70"/>
      <c r="AF36" s="66"/>
      <c r="AG36" s="66"/>
      <c r="AH36" s="67"/>
    </row>
    <row r="37" spans="1:34">
      <c r="A37" s="156">
        <v>11</v>
      </c>
      <c r="B37" s="194" t="s">
        <v>54</v>
      </c>
      <c r="C37" s="194"/>
      <c r="D37" s="194"/>
      <c r="E37" s="194"/>
      <c r="F37" s="157"/>
      <c r="G37" s="158">
        <v>15141</v>
      </c>
      <c r="H37" s="93">
        <f>H38</f>
        <v>3480</v>
      </c>
      <c r="I37" s="87">
        <f>I38</f>
        <v>1645</v>
      </c>
      <c r="J37" s="92">
        <f>G37*P37</f>
        <v>1211280</v>
      </c>
      <c r="K37" s="87">
        <f>K38</f>
        <v>278.39999999999998</v>
      </c>
      <c r="L37" s="87">
        <f>L38</f>
        <v>131.6</v>
      </c>
      <c r="M37" s="87">
        <v>529.37</v>
      </c>
      <c r="N37" s="87" t="s">
        <v>100</v>
      </c>
      <c r="O37" s="128">
        <f t="shared" ref="O37:P39" si="17">K37/H37*1000</f>
        <v>79.999999999999986</v>
      </c>
      <c r="P37" s="128">
        <f t="shared" si="17"/>
        <v>80</v>
      </c>
      <c r="Q37" s="119">
        <f t="shared" si="2"/>
        <v>1.0000000000000002</v>
      </c>
      <c r="R37" s="42">
        <v>45</v>
      </c>
      <c r="S37" s="2">
        <v>45</v>
      </c>
      <c r="T37" s="11">
        <v>45</v>
      </c>
      <c r="U37" s="21">
        <f t="shared" si="3"/>
        <v>80</v>
      </c>
      <c r="V37" s="20">
        <f t="shared" si="4"/>
        <v>7.9999999999999988E-2</v>
      </c>
      <c r="W37" s="29">
        <f t="shared" si="5"/>
        <v>0.08</v>
      </c>
      <c r="X37" s="20"/>
      <c r="Y37" s="20"/>
      <c r="Z37" s="20"/>
      <c r="AA37" s="192" t="s">
        <v>27</v>
      </c>
      <c r="AB37" s="192"/>
      <c r="AC37" s="192"/>
      <c r="AD37" s="193"/>
      <c r="AE37" s="191" t="s">
        <v>30</v>
      </c>
      <c r="AF37" s="192"/>
      <c r="AG37" s="192"/>
      <c r="AH37" s="193"/>
    </row>
    <row r="38" spans="1:34" ht="30">
      <c r="A38" s="156"/>
      <c r="B38" s="251"/>
      <c r="C38" s="252"/>
      <c r="D38" s="252"/>
      <c r="E38" s="253"/>
      <c r="F38" s="162" t="s">
        <v>74</v>
      </c>
      <c r="G38" s="128"/>
      <c r="H38" s="62">
        <v>3480</v>
      </c>
      <c r="I38" s="62">
        <v>1645</v>
      </c>
      <c r="J38" s="64"/>
      <c r="K38" s="62">
        <f>278400/1000</f>
        <v>278.39999999999998</v>
      </c>
      <c r="L38" s="62">
        <v>131.6</v>
      </c>
      <c r="M38" s="87"/>
      <c r="N38" s="87"/>
      <c r="O38" s="128">
        <f t="shared" si="17"/>
        <v>79.999999999999986</v>
      </c>
      <c r="P38" s="128">
        <f t="shared" si="17"/>
        <v>80</v>
      </c>
      <c r="Q38" s="120">
        <f t="shared" si="2"/>
        <v>1.0000000000000002</v>
      </c>
      <c r="R38" s="42"/>
      <c r="S38" s="2"/>
      <c r="T38" s="11"/>
      <c r="U38" s="21"/>
      <c r="V38" s="20"/>
      <c r="W38" s="29"/>
      <c r="X38" s="20"/>
      <c r="Y38" s="20"/>
      <c r="Z38" s="20"/>
      <c r="AA38" s="82"/>
      <c r="AB38" s="82"/>
      <c r="AC38" s="82"/>
      <c r="AD38" s="83"/>
      <c r="AE38" s="81"/>
      <c r="AF38" s="82"/>
      <c r="AG38" s="82"/>
      <c r="AH38" s="83"/>
    </row>
    <row r="39" spans="1:34">
      <c r="A39" s="165">
        <v>12</v>
      </c>
      <c r="B39" s="194" t="s">
        <v>15</v>
      </c>
      <c r="C39" s="194"/>
      <c r="D39" s="194"/>
      <c r="E39" s="194"/>
      <c r="F39" s="160"/>
      <c r="G39" s="158">
        <v>23343</v>
      </c>
      <c r="H39" s="93">
        <f>H40+H41</f>
        <v>803</v>
      </c>
      <c r="I39" s="87">
        <f>I40+I41</f>
        <v>5219</v>
      </c>
      <c r="J39" s="92">
        <f>G39*P39</f>
        <v>3809954.2009963598</v>
      </c>
      <c r="K39" s="92">
        <f>K40+K41</f>
        <v>1120.75</v>
      </c>
      <c r="L39" s="92">
        <f>L40+L41</f>
        <v>851.82500000000005</v>
      </c>
      <c r="M39" s="87">
        <v>649.37</v>
      </c>
      <c r="N39" s="87" t="s">
        <v>101</v>
      </c>
      <c r="O39" s="65">
        <f t="shared" si="17"/>
        <v>1395.703611457036</v>
      </c>
      <c r="P39" s="128">
        <f>L39/I39*1000</f>
        <v>163.21613335888102</v>
      </c>
      <c r="Q39" s="120">
        <f t="shared" si="2"/>
        <v>0.116941829210066</v>
      </c>
      <c r="R39" s="42">
        <v>158</v>
      </c>
      <c r="S39" s="2">
        <v>158</v>
      </c>
      <c r="T39" s="11">
        <v>160</v>
      </c>
      <c r="U39" s="19">
        <f t="shared" si="3"/>
        <v>163.21613335888102</v>
      </c>
      <c r="V39" s="20">
        <f t="shared" si="4"/>
        <v>1.395703611457036</v>
      </c>
      <c r="W39" s="28">
        <f t="shared" si="5"/>
        <v>0.16321613335888102</v>
      </c>
      <c r="X39" s="20"/>
      <c r="Y39" s="20"/>
      <c r="Z39" s="20"/>
      <c r="AA39" s="192" t="s">
        <v>27</v>
      </c>
      <c r="AB39" s="192"/>
      <c r="AC39" s="192"/>
      <c r="AD39" s="193"/>
      <c r="AE39" s="191" t="s">
        <v>30</v>
      </c>
      <c r="AF39" s="192"/>
      <c r="AG39" s="192"/>
      <c r="AH39" s="193"/>
    </row>
    <row r="40" spans="1:34">
      <c r="A40" s="187"/>
      <c r="B40" s="187"/>
      <c r="C40" s="187"/>
      <c r="D40" s="187"/>
      <c r="E40" s="187"/>
      <c r="F40" s="166" t="s">
        <v>111</v>
      </c>
      <c r="G40" s="65"/>
      <c r="H40" s="65">
        <v>803</v>
      </c>
      <c r="I40" s="65">
        <v>1727</v>
      </c>
      <c r="J40" s="64"/>
      <c r="K40" s="64">
        <f>1120750/1000</f>
        <v>1120.75</v>
      </c>
      <c r="L40" s="64">
        <v>94.984999999999999</v>
      </c>
      <c r="M40" s="64"/>
      <c r="N40" s="64"/>
      <c r="O40" s="65">
        <f t="shared" ref="O40:P40" si="18">K40/H40*1000</f>
        <v>1395.703611457036</v>
      </c>
      <c r="P40" s="65">
        <f t="shared" si="18"/>
        <v>55</v>
      </c>
      <c r="Q40" s="120">
        <f t="shared" si="2"/>
        <v>3.9406647334374309E-2</v>
      </c>
      <c r="R40" s="42"/>
      <c r="S40" s="2"/>
      <c r="T40" s="11"/>
      <c r="U40" s="19"/>
      <c r="V40" s="20"/>
      <c r="W40" s="28"/>
      <c r="X40" s="20"/>
      <c r="Y40" s="20"/>
      <c r="Z40" s="20"/>
      <c r="AA40" s="55"/>
      <c r="AB40" s="55"/>
      <c r="AC40" s="55"/>
      <c r="AD40" s="56"/>
      <c r="AE40" s="54"/>
      <c r="AF40" s="55"/>
      <c r="AG40" s="55"/>
      <c r="AH40" s="56"/>
    </row>
    <row r="41" spans="1:34">
      <c r="A41" s="187"/>
      <c r="B41" s="187"/>
      <c r="C41" s="187"/>
      <c r="D41" s="187"/>
      <c r="E41" s="187"/>
      <c r="F41" s="166" t="s">
        <v>112</v>
      </c>
      <c r="G41" s="65"/>
      <c r="H41" s="62"/>
      <c r="I41" s="62">
        <f>2843+474+175</f>
        <v>3492</v>
      </c>
      <c r="J41" s="64"/>
      <c r="K41" s="64"/>
      <c r="L41" s="64">
        <f>518.87+173.8+64.17</f>
        <v>756.84</v>
      </c>
      <c r="M41" s="64"/>
      <c r="N41" s="64"/>
      <c r="O41" s="65"/>
      <c r="P41" s="65"/>
      <c r="Q41" s="120"/>
      <c r="R41" s="42"/>
      <c r="S41" s="2"/>
      <c r="T41" s="11"/>
      <c r="U41" s="19"/>
      <c r="V41" s="20"/>
      <c r="W41" s="28"/>
      <c r="X41" s="20"/>
      <c r="Y41" s="20"/>
      <c r="Z41" s="20"/>
      <c r="AA41" s="55"/>
      <c r="AB41" s="55"/>
      <c r="AC41" s="55"/>
      <c r="AD41" s="56"/>
      <c r="AE41" s="54"/>
      <c r="AF41" s="55"/>
      <c r="AG41" s="55"/>
      <c r="AH41" s="56"/>
    </row>
    <row r="42" spans="1:34">
      <c r="A42" s="156">
        <v>13</v>
      </c>
      <c r="B42" s="194" t="s">
        <v>19</v>
      </c>
      <c r="C42" s="194"/>
      <c r="D42" s="194"/>
      <c r="E42" s="194"/>
      <c r="F42" s="160"/>
      <c r="G42" s="158">
        <v>54836</v>
      </c>
      <c r="H42" s="93">
        <f>H43</f>
        <v>0</v>
      </c>
      <c r="I42" s="87">
        <f>I44+I45</f>
        <v>9290.6400000000012</v>
      </c>
      <c r="J42" s="92">
        <f>G42*P42</f>
        <v>9412963.2404226176</v>
      </c>
      <c r="K42" s="92">
        <f>K43</f>
        <v>0</v>
      </c>
      <c r="L42" s="92">
        <f>L44+L45</f>
        <v>1594.8</v>
      </c>
      <c r="M42" s="87">
        <v>301.49</v>
      </c>
      <c r="N42" s="87" t="s">
        <v>102</v>
      </c>
      <c r="O42" s="65" t="e">
        <f t="shared" ref="O42:P46" si="19">K42/H42*1000</f>
        <v>#DIV/0!</v>
      </c>
      <c r="P42" s="65">
        <f t="shared" si="19"/>
        <v>171.65663506496858</v>
      </c>
      <c r="Q42" s="120" t="e">
        <f t="shared" si="2"/>
        <v>#DIV/0!</v>
      </c>
      <c r="R42" s="42">
        <v>5</v>
      </c>
      <c r="S42" s="2">
        <v>5</v>
      </c>
      <c r="T42" s="11">
        <v>5</v>
      </c>
      <c r="U42" s="19">
        <f t="shared" si="3"/>
        <v>171.65663506496858</v>
      </c>
      <c r="V42" s="20" t="e">
        <f t="shared" si="4"/>
        <v>#DIV/0!</v>
      </c>
      <c r="W42" s="28">
        <f t="shared" si="5"/>
        <v>0.17165663506496859</v>
      </c>
      <c r="X42" s="20"/>
      <c r="Y42" s="20"/>
      <c r="Z42" s="20"/>
      <c r="AA42" s="192" t="s">
        <v>38</v>
      </c>
      <c r="AB42" s="192"/>
      <c r="AC42" s="192"/>
      <c r="AD42" s="193"/>
      <c r="AE42" s="191" t="s">
        <v>39</v>
      </c>
      <c r="AF42" s="192"/>
      <c r="AG42" s="192"/>
      <c r="AH42" s="193"/>
    </row>
    <row r="43" spans="1:34" ht="30" customHeight="1">
      <c r="A43" s="159"/>
      <c r="B43" s="172"/>
      <c r="C43" s="173"/>
      <c r="D43" s="173"/>
      <c r="E43" s="174"/>
      <c r="F43" s="254" t="s">
        <v>84</v>
      </c>
      <c r="G43" s="65"/>
      <c r="H43" s="62"/>
      <c r="I43" s="62"/>
      <c r="J43" s="64"/>
      <c r="K43" s="64"/>
      <c r="L43" s="64"/>
      <c r="M43" s="64"/>
      <c r="N43" s="64"/>
      <c r="O43" s="65"/>
      <c r="P43" s="65"/>
      <c r="Q43" s="120"/>
      <c r="R43" s="43"/>
      <c r="S43" s="3"/>
      <c r="T43" s="12"/>
      <c r="U43" s="22"/>
      <c r="V43" s="23"/>
      <c r="W43" s="30"/>
      <c r="X43" s="20"/>
      <c r="Y43" s="20"/>
      <c r="Z43" s="20"/>
      <c r="AA43" s="55"/>
      <c r="AB43" s="55"/>
      <c r="AC43" s="55"/>
      <c r="AD43" s="56"/>
      <c r="AE43" s="54"/>
      <c r="AF43" s="55"/>
      <c r="AG43" s="55"/>
      <c r="AH43" s="56"/>
    </row>
    <row r="44" spans="1:34">
      <c r="A44" s="159"/>
      <c r="B44" s="175"/>
      <c r="C44" s="176"/>
      <c r="D44" s="176"/>
      <c r="E44" s="177"/>
      <c r="F44" s="255"/>
      <c r="G44" s="65"/>
      <c r="H44" s="62"/>
      <c r="I44" s="62">
        <v>8246.7000000000007</v>
      </c>
      <c r="J44" s="64"/>
      <c r="K44" s="64"/>
      <c r="L44" s="151">
        <v>1252.0999999999999</v>
      </c>
      <c r="M44" s="64"/>
      <c r="N44" s="64"/>
      <c r="O44" s="65"/>
      <c r="P44" s="65"/>
      <c r="Q44" s="120"/>
      <c r="R44" s="43"/>
      <c r="S44" s="3"/>
      <c r="T44" s="12"/>
      <c r="U44" s="22"/>
      <c r="V44" s="23"/>
      <c r="W44" s="30"/>
      <c r="X44" s="20"/>
      <c r="Y44" s="20"/>
      <c r="Z44" s="20"/>
      <c r="AA44" s="123"/>
      <c r="AB44" s="123"/>
      <c r="AC44" s="123"/>
      <c r="AD44" s="124"/>
      <c r="AE44" s="127"/>
      <c r="AF44" s="123"/>
      <c r="AG44" s="123"/>
      <c r="AH44" s="124"/>
    </row>
    <row r="45" spans="1:34">
      <c r="A45" s="159"/>
      <c r="B45" s="178"/>
      <c r="C45" s="179"/>
      <c r="D45" s="179"/>
      <c r="E45" s="180"/>
      <c r="F45" s="256"/>
      <c r="G45" s="65"/>
      <c r="H45" s="62"/>
      <c r="I45" s="62">
        <v>1043.94</v>
      </c>
      <c r="J45" s="64"/>
      <c r="K45" s="64"/>
      <c r="L45" s="151">
        <v>342.7</v>
      </c>
      <c r="M45" s="64"/>
      <c r="N45" s="64"/>
      <c r="O45" s="65"/>
      <c r="P45" s="65"/>
      <c r="Q45" s="120"/>
      <c r="R45" s="43"/>
      <c r="S45" s="3"/>
      <c r="T45" s="12"/>
      <c r="U45" s="22"/>
      <c r="V45" s="23"/>
      <c r="W45" s="30"/>
      <c r="X45" s="20"/>
      <c r="Y45" s="20"/>
      <c r="Z45" s="20"/>
      <c r="AA45" s="123"/>
      <c r="AB45" s="123"/>
      <c r="AC45" s="123"/>
      <c r="AD45" s="124"/>
      <c r="AE45" s="127"/>
      <c r="AF45" s="123"/>
      <c r="AG45" s="123"/>
      <c r="AH45" s="124"/>
    </row>
    <row r="46" spans="1:34">
      <c r="A46" s="156">
        <v>14</v>
      </c>
      <c r="B46" s="260" t="s">
        <v>34</v>
      </c>
      <c r="C46" s="261"/>
      <c r="D46" s="261"/>
      <c r="E46" s="262"/>
      <c r="F46" s="160"/>
      <c r="G46" s="167">
        <v>29003</v>
      </c>
      <c r="H46" s="94">
        <f>SUM(H47:H47)</f>
        <v>500</v>
      </c>
      <c r="I46" s="91">
        <f>SUM(I47:I47)</f>
        <v>270</v>
      </c>
      <c r="J46" s="87">
        <f>G46*P46</f>
        <v>2471055.6000000006</v>
      </c>
      <c r="K46" s="87">
        <f>SUM(K47:K47)</f>
        <v>0</v>
      </c>
      <c r="L46" s="87">
        <f>SUM(L47:L47)</f>
        <v>23.004000000000001</v>
      </c>
      <c r="M46" s="87">
        <v>304.13</v>
      </c>
      <c r="N46" s="87" t="s">
        <v>103</v>
      </c>
      <c r="O46" s="128">
        <f t="shared" si="19"/>
        <v>0</v>
      </c>
      <c r="P46" s="128">
        <f t="shared" si="19"/>
        <v>85.200000000000017</v>
      </c>
      <c r="Q46" s="119" t="e">
        <f t="shared" si="2"/>
        <v>#DIV/0!</v>
      </c>
      <c r="R46" s="43">
        <v>139</v>
      </c>
      <c r="S46" s="3">
        <v>139</v>
      </c>
      <c r="T46" s="12">
        <v>143</v>
      </c>
      <c r="U46" s="22">
        <f t="shared" si="3"/>
        <v>85.200000000000017</v>
      </c>
      <c r="V46" s="23">
        <f t="shared" si="4"/>
        <v>0</v>
      </c>
      <c r="W46" s="30">
        <f t="shared" si="5"/>
        <v>8.5200000000000012E-2</v>
      </c>
      <c r="X46" s="20"/>
      <c r="Y46" s="20"/>
      <c r="Z46" s="20"/>
      <c r="AA46" s="192" t="s">
        <v>21</v>
      </c>
      <c r="AB46" s="192"/>
      <c r="AC46" s="192"/>
      <c r="AD46" s="193"/>
      <c r="AE46" s="191" t="s">
        <v>7</v>
      </c>
      <c r="AF46" s="192"/>
      <c r="AG46" s="192"/>
      <c r="AH46" s="193"/>
    </row>
    <row r="47" spans="1:34">
      <c r="A47" s="156"/>
      <c r="B47" s="187"/>
      <c r="C47" s="187"/>
      <c r="D47" s="187"/>
      <c r="E47" s="187"/>
      <c r="F47" s="162" t="s">
        <v>63</v>
      </c>
      <c r="G47" s="128"/>
      <c r="H47" s="62">
        <v>500</v>
      </c>
      <c r="I47" s="62">
        <v>270</v>
      </c>
      <c r="J47" s="64"/>
      <c r="K47" s="65"/>
      <c r="L47" s="62">
        <v>23.004000000000001</v>
      </c>
      <c r="M47" s="87"/>
      <c r="N47" s="87"/>
      <c r="O47" s="65"/>
      <c r="P47" s="65"/>
      <c r="Q47" s="120"/>
      <c r="R47" s="43"/>
      <c r="S47" s="3"/>
      <c r="T47" s="12"/>
      <c r="U47" s="22"/>
      <c r="V47" s="23"/>
      <c r="W47" s="30"/>
      <c r="X47" s="20"/>
      <c r="Y47" s="20"/>
      <c r="Z47" s="20"/>
      <c r="AA47" s="72"/>
      <c r="AB47" s="72"/>
      <c r="AC47" s="72"/>
      <c r="AD47" s="73"/>
      <c r="AE47" s="71"/>
      <c r="AF47" s="72"/>
      <c r="AG47" s="72"/>
      <c r="AH47" s="73"/>
    </row>
    <row r="48" spans="1:34" ht="15.75" thickBot="1">
      <c r="A48" s="156">
        <v>15</v>
      </c>
      <c r="B48" s="194" t="s">
        <v>21</v>
      </c>
      <c r="C48" s="245"/>
      <c r="D48" s="245"/>
      <c r="E48" s="245"/>
      <c r="F48" s="160"/>
      <c r="G48" s="158">
        <v>86511</v>
      </c>
      <c r="H48" s="93">
        <f>H49</f>
        <v>37961.620000000003</v>
      </c>
      <c r="I48" s="87">
        <f>I49</f>
        <v>22915.5</v>
      </c>
      <c r="J48" s="87">
        <f>P48*G48</f>
        <v>29349297.034758128</v>
      </c>
      <c r="K48" s="87">
        <f>K49</f>
        <v>12940.495000000001</v>
      </c>
      <c r="L48" s="87">
        <f>L49</f>
        <v>7774.2</v>
      </c>
      <c r="M48" s="87">
        <v>342.13</v>
      </c>
      <c r="N48" s="87" t="s">
        <v>104</v>
      </c>
      <c r="O48" s="128">
        <f t="shared" ref="O48:P50" si="20">K48/H48*1000</f>
        <v>340.8836345761851</v>
      </c>
      <c r="P48" s="128">
        <f t="shared" si="20"/>
        <v>339.25508935000323</v>
      </c>
      <c r="Q48" s="119">
        <f t="shared" si="2"/>
        <v>0.99522257726391994</v>
      </c>
      <c r="R48" s="44">
        <v>152</v>
      </c>
      <c r="S48" s="9">
        <v>130</v>
      </c>
      <c r="T48" s="13">
        <v>130</v>
      </c>
      <c r="U48" s="24">
        <f t="shared" si="3"/>
        <v>339.25508935000323</v>
      </c>
      <c r="V48" s="25">
        <f t="shared" si="4"/>
        <v>0.34088363457618509</v>
      </c>
      <c r="W48" s="31">
        <f t="shared" si="5"/>
        <v>0.33925508935000326</v>
      </c>
      <c r="X48" s="20"/>
      <c r="Y48" s="20"/>
      <c r="Z48" s="20"/>
      <c r="AA48" s="192" t="s">
        <v>28</v>
      </c>
      <c r="AB48" s="192"/>
      <c r="AC48" s="192"/>
      <c r="AD48" s="193"/>
      <c r="AE48" s="191" t="s">
        <v>29</v>
      </c>
      <c r="AF48" s="192"/>
      <c r="AG48" s="192"/>
      <c r="AH48" s="193"/>
    </row>
    <row r="49" spans="1:34" ht="15.75" thickBot="1">
      <c r="A49" s="156"/>
      <c r="B49" s="251"/>
      <c r="C49" s="252"/>
      <c r="D49" s="252"/>
      <c r="E49" s="253"/>
      <c r="F49" s="162" t="s">
        <v>81</v>
      </c>
      <c r="G49" s="128"/>
      <c r="H49" s="62">
        <v>37961.620000000003</v>
      </c>
      <c r="I49" s="62">
        <v>22915.5</v>
      </c>
      <c r="J49" s="62"/>
      <c r="K49" s="64">
        <f>12940495/1000</f>
        <v>12940.495000000001</v>
      </c>
      <c r="L49" s="64">
        <v>7774.2</v>
      </c>
      <c r="M49" s="87"/>
      <c r="N49" s="87"/>
      <c r="O49" s="128">
        <f t="shared" si="20"/>
        <v>340.8836345761851</v>
      </c>
      <c r="P49" s="128">
        <f t="shared" si="20"/>
        <v>339.25508935000323</v>
      </c>
      <c r="Q49" s="120">
        <f t="shared" si="2"/>
        <v>0.99522257726391994</v>
      </c>
      <c r="R49" s="45"/>
      <c r="S49" s="16"/>
      <c r="T49" s="17"/>
      <c r="U49" s="26"/>
      <c r="V49" s="27"/>
      <c r="W49" s="32"/>
      <c r="X49" s="20"/>
      <c r="Y49" s="20"/>
      <c r="Z49" s="20"/>
      <c r="AA49" s="89"/>
      <c r="AB49" s="89"/>
      <c r="AC49" s="89"/>
      <c r="AD49" s="90"/>
      <c r="AE49" s="88"/>
      <c r="AF49" s="89"/>
      <c r="AG49" s="89"/>
      <c r="AH49" s="90"/>
    </row>
    <row r="50" spans="1:34" ht="15.75" thickBot="1">
      <c r="A50" s="156">
        <v>16</v>
      </c>
      <c r="B50" s="194" t="s">
        <v>55</v>
      </c>
      <c r="C50" s="245"/>
      <c r="D50" s="245"/>
      <c r="E50" s="245"/>
      <c r="F50" s="160"/>
      <c r="G50" s="158">
        <v>23768</v>
      </c>
      <c r="H50" s="93">
        <f>H52</f>
        <v>9233.89</v>
      </c>
      <c r="I50" s="87">
        <f>I52+I53</f>
        <v>10735.51</v>
      </c>
      <c r="J50" s="87">
        <f>G50*P50</f>
        <v>7157496.6681601526</v>
      </c>
      <c r="K50" s="87">
        <f>K52</f>
        <v>2519.8359999999998</v>
      </c>
      <c r="L50" s="87">
        <f>L52+L53</f>
        <v>3232.8919999999998</v>
      </c>
      <c r="M50" s="87">
        <v>348.48</v>
      </c>
      <c r="N50" s="87" t="s">
        <v>105</v>
      </c>
      <c r="O50" s="128">
        <f t="shared" si="20"/>
        <v>272.88997378136412</v>
      </c>
      <c r="P50" s="128">
        <f t="shared" si="20"/>
        <v>301.14004830697377</v>
      </c>
      <c r="Q50" s="119">
        <f t="shared" si="2"/>
        <v>1.1035218485096974</v>
      </c>
      <c r="R50" s="45">
        <v>85</v>
      </c>
      <c r="S50" s="16">
        <v>90</v>
      </c>
      <c r="T50" s="17">
        <v>95</v>
      </c>
      <c r="U50" s="26">
        <f t="shared" si="3"/>
        <v>301.14004830697377</v>
      </c>
      <c r="V50" s="27">
        <f t="shared" si="4"/>
        <v>0.27288997378136409</v>
      </c>
      <c r="W50" s="32">
        <f t="shared" si="5"/>
        <v>0.30114004830697377</v>
      </c>
      <c r="X50" s="20"/>
      <c r="Y50" s="20"/>
      <c r="Z50" s="20"/>
      <c r="AA50" s="192" t="s">
        <v>28</v>
      </c>
      <c r="AB50" s="192"/>
      <c r="AC50" s="192"/>
      <c r="AD50" s="193"/>
      <c r="AE50" s="191" t="s">
        <v>29</v>
      </c>
      <c r="AF50" s="192"/>
      <c r="AG50" s="192"/>
      <c r="AH50" s="193"/>
    </row>
    <row r="51" spans="1:34" ht="15.75" thickBot="1">
      <c r="A51" s="156"/>
      <c r="B51" s="197"/>
      <c r="C51" s="198"/>
      <c r="D51" s="198"/>
      <c r="E51" s="199"/>
      <c r="F51" s="160"/>
      <c r="G51" s="128"/>
      <c r="H51" s="62"/>
      <c r="I51" s="62"/>
      <c r="J51" s="62"/>
      <c r="K51" s="62"/>
      <c r="L51" s="62"/>
      <c r="M51" s="87"/>
      <c r="N51" s="87"/>
      <c r="O51" s="65"/>
      <c r="P51" s="65"/>
      <c r="Q51" s="120"/>
      <c r="R51" s="45"/>
      <c r="S51" s="16"/>
      <c r="T51" s="17"/>
      <c r="U51" s="26"/>
      <c r="V51" s="34"/>
      <c r="W51" s="35"/>
      <c r="X51" s="20"/>
      <c r="Y51" s="20"/>
      <c r="Z51" s="20"/>
      <c r="AA51" s="82"/>
      <c r="AB51" s="82"/>
      <c r="AC51" s="82"/>
      <c r="AD51" s="83"/>
      <c r="AE51" s="81"/>
      <c r="AF51" s="82"/>
      <c r="AG51" s="82"/>
      <c r="AH51" s="83"/>
    </row>
    <row r="52" spans="1:34" ht="15.75" thickBot="1">
      <c r="A52" s="156"/>
      <c r="B52" s="200"/>
      <c r="C52" s="201"/>
      <c r="D52" s="201"/>
      <c r="E52" s="202"/>
      <c r="F52" s="162" t="s">
        <v>62</v>
      </c>
      <c r="G52" s="128"/>
      <c r="H52" s="62">
        <v>9233.89</v>
      </c>
      <c r="I52" s="62">
        <v>5367.7550000000001</v>
      </c>
      <c r="J52" s="62"/>
      <c r="K52" s="62">
        <f>2519836/1000</f>
        <v>2519.8359999999998</v>
      </c>
      <c r="L52" s="62">
        <v>1616.4459999999999</v>
      </c>
      <c r="M52" s="87"/>
      <c r="N52" s="87"/>
      <c r="O52" s="65">
        <f t="shared" ref="O52:P55" si="21">K52/H52*1000</f>
        <v>272.88997378136412</v>
      </c>
      <c r="P52" s="65">
        <f t="shared" si="21"/>
        <v>301.14004830697377</v>
      </c>
      <c r="Q52" s="120">
        <f t="shared" si="2"/>
        <v>1.1035218485096974</v>
      </c>
      <c r="R52" s="45"/>
      <c r="S52" s="16"/>
      <c r="T52" s="17"/>
      <c r="U52" s="26"/>
      <c r="V52" s="34"/>
      <c r="W52" s="35"/>
      <c r="X52" s="20"/>
      <c r="Y52" s="20"/>
      <c r="Z52" s="20"/>
      <c r="AA52" s="82"/>
      <c r="AB52" s="82"/>
      <c r="AC52" s="82"/>
      <c r="AD52" s="83"/>
      <c r="AE52" s="81"/>
      <c r="AF52" s="82"/>
      <c r="AG52" s="82"/>
      <c r="AH52" s="83"/>
    </row>
    <row r="53" spans="1:34" ht="15.75" thickBot="1">
      <c r="A53" s="156"/>
      <c r="B53" s="203"/>
      <c r="C53" s="204"/>
      <c r="D53" s="204"/>
      <c r="E53" s="205"/>
      <c r="F53" s="162"/>
      <c r="G53" s="128"/>
      <c r="H53" s="62">
        <v>9233.89</v>
      </c>
      <c r="I53" s="62">
        <v>5367.7550000000001</v>
      </c>
      <c r="J53" s="62"/>
      <c r="K53" s="62">
        <f>2519836/1000</f>
        <v>2519.8359999999998</v>
      </c>
      <c r="L53" s="62">
        <v>1616.4459999999999</v>
      </c>
      <c r="M53" s="87"/>
      <c r="N53" s="87"/>
      <c r="O53" s="65">
        <f t="shared" si="21"/>
        <v>272.88997378136412</v>
      </c>
      <c r="P53" s="65">
        <f t="shared" si="21"/>
        <v>301.14004830697377</v>
      </c>
      <c r="Q53" s="120">
        <f t="shared" si="2"/>
        <v>1.1035218485096974</v>
      </c>
      <c r="R53" s="45"/>
      <c r="S53" s="16"/>
      <c r="T53" s="17"/>
      <c r="U53" s="26"/>
      <c r="V53" s="34"/>
      <c r="W53" s="35"/>
      <c r="X53" s="20"/>
      <c r="Y53" s="20"/>
      <c r="Z53" s="20"/>
      <c r="AA53" s="123"/>
      <c r="AB53" s="123"/>
      <c r="AC53" s="123"/>
      <c r="AD53" s="124"/>
      <c r="AE53" s="127"/>
      <c r="AF53" s="123"/>
      <c r="AG53" s="123"/>
      <c r="AH53" s="124"/>
    </row>
    <row r="54" spans="1:34" ht="15.75" thickBot="1">
      <c r="A54" s="156">
        <v>17</v>
      </c>
      <c r="B54" s="194" t="s">
        <v>28</v>
      </c>
      <c r="C54" s="245"/>
      <c r="D54" s="245"/>
      <c r="E54" s="245"/>
      <c r="F54" s="160"/>
      <c r="G54" s="158">
        <v>24264</v>
      </c>
      <c r="H54" s="94">
        <f>SUM(H55:H58)</f>
        <v>5030.8</v>
      </c>
      <c r="I54" s="87">
        <f>SUM(I55:I58)</f>
        <v>2583.04</v>
      </c>
      <c r="J54" s="87">
        <f>G54*P54</f>
        <v>9335304.9677898902</v>
      </c>
      <c r="K54" s="87">
        <f t="shared" ref="K54" si="22">SUM(K55:K58)</f>
        <v>2250.4</v>
      </c>
      <c r="L54" s="87">
        <f>SUM(L55:L58)</f>
        <v>993.79600000000005</v>
      </c>
      <c r="M54" s="87">
        <v>385.2</v>
      </c>
      <c r="N54" s="87">
        <v>421.18</v>
      </c>
      <c r="O54" s="128">
        <f t="shared" si="21"/>
        <v>447.3244811958337</v>
      </c>
      <c r="P54" s="128">
        <f>L54/I54*1000</f>
        <v>384.73891228939544</v>
      </c>
      <c r="Q54" s="120">
        <f t="shared" si="2"/>
        <v>0.86008910413503836</v>
      </c>
      <c r="R54" s="45">
        <v>85</v>
      </c>
      <c r="S54" s="16">
        <v>82</v>
      </c>
      <c r="T54" s="17">
        <v>82</v>
      </c>
      <c r="U54" s="26">
        <f t="shared" si="3"/>
        <v>384.73891228939539</v>
      </c>
      <c r="V54" s="34">
        <f t="shared" si="4"/>
        <v>0.44732448119583368</v>
      </c>
      <c r="W54" s="35">
        <f t="shared" si="5"/>
        <v>0.38473891228939544</v>
      </c>
      <c r="X54" s="20"/>
      <c r="Y54" s="20"/>
      <c r="Z54" s="20"/>
      <c r="AA54" s="192" t="s">
        <v>28</v>
      </c>
      <c r="AB54" s="192"/>
      <c r="AC54" s="192"/>
      <c r="AD54" s="193"/>
      <c r="AE54" s="191" t="s">
        <v>29</v>
      </c>
      <c r="AF54" s="192"/>
      <c r="AG54" s="192"/>
      <c r="AH54" s="193"/>
    </row>
    <row r="55" spans="1:34" ht="45.75" thickBot="1">
      <c r="A55" s="156"/>
      <c r="B55" s="197"/>
      <c r="C55" s="198"/>
      <c r="D55" s="198"/>
      <c r="E55" s="199"/>
      <c r="F55" s="162" t="s">
        <v>72</v>
      </c>
      <c r="G55" s="128"/>
      <c r="H55" s="62">
        <v>1132</v>
      </c>
      <c r="I55" s="62">
        <v>502</v>
      </c>
      <c r="J55" s="62"/>
      <c r="K55" s="62">
        <f>562600/1000</f>
        <v>562.6</v>
      </c>
      <c r="L55" s="62">
        <v>249.5</v>
      </c>
      <c r="M55" s="87"/>
      <c r="N55" s="87"/>
      <c r="O55" s="65">
        <f t="shared" si="21"/>
        <v>496.99646643109543</v>
      </c>
      <c r="P55" s="65">
        <f t="shared" si="21"/>
        <v>497.01195219123508</v>
      </c>
      <c r="Q55" s="120">
        <f t="shared" ref="Q55:Q58" si="23">P55/O55</f>
        <v>1.0000311586926378</v>
      </c>
      <c r="R55" s="45"/>
      <c r="S55" s="16"/>
      <c r="T55" s="17"/>
      <c r="U55" s="26"/>
      <c r="V55" s="34"/>
      <c r="W55" s="35"/>
      <c r="X55" s="20"/>
      <c r="Y55" s="20"/>
      <c r="Z55" s="20"/>
      <c r="AA55" s="76"/>
      <c r="AB55" s="76"/>
      <c r="AC55" s="76"/>
      <c r="AD55" s="77"/>
      <c r="AE55" s="75"/>
      <c r="AF55" s="76"/>
      <c r="AG55" s="76"/>
      <c r="AH55" s="77"/>
    </row>
    <row r="56" spans="1:34" ht="60.75" thickBot="1">
      <c r="A56" s="156"/>
      <c r="B56" s="200"/>
      <c r="C56" s="201"/>
      <c r="D56" s="201"/>
      <c r="E56" s="202"/>
      <c r="F56" s="162" t="s">
        <v>73</v>
      </c>
      <c r="G56" s="128"/>
      <c r="H56" s="62">
        <v>692.15</v>
      </c>
      <c r="I56" s="62">
        <v>457.02</v>
      </c>
      <c r="J56" s="62"/>
      <c r="K56" s="62">
        <f t="shared" ref="K56:K58" si="24">562600/1000</f>
        <v>562.6</v>
      </c>
      <c r="L56" s="62">
        <v>169.09</v>
      </c>
      <c r="M56" s="87"/>
      <c r="N56" s="87"/>
      <c r="O56" s="65">
        <f t="shared" ref="O56:P58" si="25">K56/H56*1000</f>
        <v>812.8295889619302</v>
      </c>
      <c r="P56" s="65">
        <f t="shared" si="25"/>
        <v>369.98380814843989</v>
      </c>
      <c r="Q56" s="120">
        <f t="shared" si="23"/>
        <v>0.45518004409872498</v>
      </c>
      <c r="R56" s="45"/>
      <c r="S56" s="16"/>
      <c r="T56" s="17"/>
      <c r="U56" s="26"/>
      <c r="V56" s="34"/>
      <c r="W56" s="35"/>
      <c r="X56" s="20"/>
      <c r="Y56" s="20"/>
      <c r="Z56" s="20"/>
      <c r="AA56" s="76"/>
      <c r="AB56" s="76"/>
      <c r="AC56" s="76"/>
      <c r="AD56" s="77"/>
      <c r="AE56" s="75"/>
      <c r="AF56" s="76"/>
      <c r="AG56" s="76"/>
      <c r="AH56" s="77"/>
    </row>
    <row r="57" spans="1:34" ht="60">
      <c r="A57" s="156"/>
      <c r="B57" s="203"/>
      <c r="C57" s="204"/>
      <c r="D57" s="204"/>
      <c r="E57" s="205"/>
      <c r="F57" s="162" t="s">
        <v>73</v>
      </c>
      <c r="G57" s="128"/>
      <c r="H57" s="62">
        <v>692.15</v>
      </c>
      <c r="I57" s="62">
        <v>457.02</v>
      </c>
      <c r="J57" s="62"/>
      <c r="K57" s="62">
        <f t="shared" si="24"/>
        <v>562.6</v>
      </c>
      <c r="L57" s="62">
        <v>169.09</v>
      </c>
      <c r="M57" s="87"/>
      <c r="N57" s="87"/>
      <c r="O57" s="65">
        <f t="shared" si="25"/>
        <v>812.8295889619302</v>
      </c>
      <c r="P57" s="65">
        <f t="shared" si="25"/>
        <v>369.98380814843989</v>
      </c>
      <c r="Q57" s="120">
        <f t="shared" si="23"/>
        <v>0.45518004409872498</v>
      </c>
      <c r="R57" s="130"/>
      <c r="S57" s="131"/>
      <c r="T57" s="132"/>
      <c r="U57" s="133"/>
      <c r="V57" s="134"/>
      <c r="W57" s="135"/>
      <c r="X57" s="20"/>
      <c r="Y57" s="20"/>
      <c r="Z57" s="20"/>
      <c r="AA57" s="123"/>
      <c r="AB57" s="123"/>
      <c r="AC57" s="123"/>
      <c r="AD57" s="124"/>
      <c r="AE57" s="127"/>
      <c r="AF57" s="123"/>
      <c r="AG57" s="123"/>
      <c r="AH57" s="124"/>
    </row>
    <row r="58" spans="1:34" ht="45">
      <c r="A58" s="156"/>
      <c r="B58" s="187"/>
      <c r="C58" s="187"/>
      <c r="D58" s="187"/>
      <c r="E58" s="187"/>
      <c r="F58" s="162" t="s">
        <v>71</v>
      </c>
      <c r="G58" s="128"/>
      <c r="H58" s="62">
        <v>2514.5</v>
      </c>
      <c r="I58" s="62">
        <v>1167</v>
      </c>
      <c r="J58" s="62"/>
      <c r="K58" s="62">
        <f t="shared" si="24"/>
        <v>562.6</v>
      </c>
      <c r="L58" s="62">
        <v>406.11599999999999</v>
      </c>
      <c r="M58" s="87"/>
      <c r="N58" s="87"/>
      <c r="O58" s="65">
        <f t="shared" si="25"/>
        <v>223.74229469079341</v>
      </c>
      <c r="P58" s="65">
        <f t="shared" si="25"/>
        <v>348</v>
      </c>
      <c r="Q58" s="120">
        <f t="shared" si="23"/>
        <v>1.5553608247422679</v>
      </c>
      <c r="R58" s="42"/>
      <c r="S58" s="2"/>
      <c r="T58" s="11"/>
      <c r="U58" s="19"/>
      <c r="V58" s="20"/>
      <c r="W58" s="28"/>
      <c r="X58" s="20"/>
      <c r="Y58" s="20"/>
      <c r="Z58" s="20"/>
      <c r="AA58" s="95"/>
      <c r="AB58" s="95"/>
      <c r="AC58" s="95"/>
      <c r="AD58" s="96"/>
      <c r="AE58" s="99"/>
      <c r="AF58" s="97"/>
      <c r="AG58" s="97"/>
      <c r="AH58" s="98"/>
    </row>
    <row r="59" spans="1:34" ht="15.75" thickBot="1">
      <c r="A59" s="156">
        <v>18</v>
      </c>
      <c r="B59" s="194" t="s">
        <v>56</v>
      </c>
      <c r="C59" s="194"/>
      <c r="D59" s="194"/>
      <c r="E59" s="194"/>
      <c r="F59" s="157"/>
      <c r="G59" s="158">
        <v>103366</v>
      </c>
      <c r="H59" s="93">
        <f>H60+H61+H62</f>
        <v>23139.35</v>
      </c>
      <c r="I59" s="87">
        <f>I60+I61+I62</f>
        <v>11537.65</v>
      </c>
      <c r="J59" s="87">
        <f>G59*P59</f>
        <v>14533317.027297586</v>
      </c>
      <c r="K59" s="87">
        <f>K60+K61+K62</f>
        <v>2533.8000000000002</v>
      </c>
      <c r="L59" s="87">
        <f>L60+L61+L62</f>
        <v>1622.1999999999998</v>
      </c>
      <c r="M59" s="87">
        <v>300.79000000000002</v>
      </c>
      <c r="N59" s="87" t="s">
        <v>106</v>
      </c>
      <c r="O59" s="128">
        <f>K59/H59*1000</f>
        <v>109.50177943632818</v>
      </c>
      <c r="P59" s="128">
        <f>L59/I59*1000</f>
        <v>140.60055557240858</v>
      </c>
      <c r="Q59" s="119">
        <f>P59/O59</f>
        <v>1.2840024728014887</v>
      </c>
      <c r="R59" s="45"/>
      <c r="S59" s="16"/>
      <c r="T59" s="17"/>
      <c r="U59" s="26">
        <f t="shared" si="3"/>
        <v>140.60055557240858</v>
      </c>
      <c r="V59" s="34"/>
      <c r="W59" s="35"/>
      <c r="X59" s="20"/>
      <c r="Y59" s="20"/>
      <c r="Z59" s="20"/>
      <c r="AA59" s="39"/>
      <c r="AB59" s="39"/>
      <c r="AC59" s="39"/>
      <c r="AD59" s="40"/>
      <c r="AE59" s="41"/>
      <c r="AF59" s="39"/>
      <c r="AG59" s="39"/>
      <c r="AH59" s="40"/>
    </row>
    <row r="60" spans="1:34" ht="30.75" thickBot="1">
      <c r="A60" s="206"/>
      <c r="B60" s="197"/>
      <c r="C60" s="198"/>
      <c r="D60" s="198"/>
      <c r="E60" s="199"/>
      <c r="F60" s="162" t="s">
        <v>76</v>
      </c>
      <c r="G60" s="128"/>
      <c r="H60" s="62">
        <v>6261.02</v>
      </c>
      <c r="I60" s="62">
        <v>3121.98</v>
      </c>
      <c r="J60" s="62"/>
      <c r="K60" s="62">
        <f>844600/1000</f>
        <v>844.6</v>
      </c>
      <c r="L60" s="62">
        <v>439</v>
      </c>
      <c r="M60" s="87"/>
      <c r="N60" s="87"/>
      <c r="O60" s="65">
        <f>K60/H60*1000</f>
        <v>134.89814758617604</v>
      </c>
      <c r="P60" s="65">
        <f>L60/I60*1000</f>
        <v>140.61589119725301</v>
      </c>
      <c r="Q60" s="120">
        <f t="shared" si="2"/>
        <v>1.0423856347428666</v>
      </c>
      <c r="R60" s="45"/>
      <c r="S60" s="16"/>
      <c r="T60" s="17"/>
      <c r="U60" s="26"/>
      <c r="V60" s="34"/>
      <c r="W60" s="35"/>
      <c r="X60" s="20"/>
      <c r="Y60" s="20"/>
      <c r="Z60" s="20"/>
      <c r="AA60" s="84"/>
      <c r="AB60" s="84"/>
      <c r="AC60" s="84"/>
      <c r="AD60" s="85"/>
      <c r="AE60" s="86"/>
      <c r="AF60" s="84"/>
      <c r="AG60" s="84"/>
      <c r="AH60" s="85"/>
    </row>
    <row r="61" spans="1:34" ht="30.75" thickBot="1">
      <c r="A61" s="207"/>
      <c r="B61" s="200"/>
      <c r="C61" s="201"/>
      <c r="D61" s="201"/>
      <c r="E61" s="202"/>
      <c r="F61" s="162" t="s">
        <v>77</v>
      </c>
      <c r="G61" s="128"/>
      <c r="H61" s="62">
        <v>8991.5</v>
      </c>
      <c r="I61" s="62">
        <v>4483</v>
      </c>
      <c r="J61" s="62"/>
      <c r="K61" s="62">
        <f t="shared" ref="K61:K62" si="26">844600/1000</f>
        <v>844.6</v>
      </c>
      <c r="L61" s="62">
        <v>630.29999999999995</v>
      </c>
      <c r="M61" s="87"/>
      <c r="N61" s="87"/>
      <c r="O61" s="65">
        <f t="shared" ref="O61:P64" si="27">K61/H61*1000</f>
        <v>93.933159094700557</v>
      </c>
      <c r="P61" s="65">
        <f t="shared" si="27"/>
        <v>140.59781396386347</v>
      </c>
      <c r="Q61" s="120">
        <f t="shared" si="2"/>
        <v>1.4967857497703982</v>
      </c>
      <c r="R61" s="45"/>
      <c r="S61" s="16"/>
      <c r="T61" s="17"/>
      <c r="U61" s="26"/>
      <c r="V61" s="34"/>
      <c r="W61" s="35"/>
      <c r="X61" s="20"/>
      <c r="Y61" s="20"/>
      <c r="Z61" s="20"/>
      <c r="AA61" s="84"/>
      <c r="AB61" s="84"/>
      <c r="AC61" s="84"/>
      <c r="AD61" s="85"/>
      <c r="AE61" s="86"/>
      <c r="AF61" s="84"/>
      <c r="AG61" s="84"/>
      <c r="AH61" s="85"/>
    </row>
    <row r="62" spans="1:34" ht="30.75" thickBot="1">
      <c r="A62" s="208"/>
      <c r="B62" s="203"/>
      <c r="C62" s="204"/>
      <c r="D62" s="204"/>
      <c r="E62" s="205"/>
      <c r="F62" s="162" t="s">
        <v>78</v>
      </c>
      <c r="G62" s="128"/>
      <c r="H62" s="62">
        <v>7886.83</v>
      </c>
      <c r="I62" s="62">
        <v>3932.67</v>
      </c>
      <c r="J62" s="62"/>
      <c r="K62" s="62">
        <f t="shared" si="26"/>
        <v>844.6</v>
      </c>
      <c r="L62" s="62">
        <v>552.9</v>
      </c>
      <c r="M62" s="87"/>
      <c r="N62" s="87"/>
      <c r="O62" s="65">
        <f t="shared" si="27"/>
        <v>107.08992079200388</v>
      </c>
      <c r="P62" s="65">
        <f t="shared" si="27"/>
        <v>140.59150653372899</v>
      </c>
      <c r="Q62" s="120">
        <f t="shared" si="2"/>
        <v>1.3128360306362892</v>
      </c>
      <c r="R62" s="45"/>
      <c r="S62" s="16"/>
      <c r="T62" s="17"/>
      <c r="U62" s="26"/>
      <c r="V62" s="34"/>
      <c r="W62" s="35"/>
      <c r="X62" s="20"/>
      <c r="Y62" s="20"/>
      <c r="Z62" s="20"/>
      <c r="AA62" s="84"/>
      <c r="AB62" s="84"/>
      <c r="AC62" s="84"/>
      <c r="AD62" s="85"/>
      <c r="AE62" s="86"/>
      <c r="AF62" s="84"/>
      <c r="AG62" s="84"/>
      <c r="AH62" s="85"/>
    </row>
    <row r="63" spans="1:34" ht="52.9" customHeight="1" thickBot="1">
      <c r="A63" s="156">
        <v>19</v>
      </c>
      <c r="B63" s="246" t="s">
        <v>113</v>
      </c>
      <c r="C63" s="246"/>
      <c r="D63" s="246"/>
      <c r="E63" s="246"/>
      <c r="F63" s="162" t="s">
        <v>32</v>
      </c>
      <c r="G63" s="158">
        <v>202061</v>
      </c>
      <c r="H63" s="93">
        <v>112703.07</v>
      </c>
      <c r="I63" s="87">
        <v>61008.37</v>
      </c>
      <c r="J63" s="87">
        <f>G63*P63</f>
        <v>53556355.922884017</v>
      </c>
      <c r="K63" s="87">
        <f>22528050.8474/1000</f>
        <v>22528.050847399998</v>
      </c>
      <c r="L63" s="87">
        <f>15570.6+599.695</f>
        <v>16170.295</v>
      </c>
      <c r="M63" s="116" t="s">
        <v>86</v>
      </c>
      <c r="N63" s="116"/>
      <c r="O63" s="65">
        <f>K63/H63*1000</f>
        <v>199.88852874549025</v>
      </c>
      <c r="P63" s="65">
        <f>L63/I63*1000</f>
        <v>265.05043488295127</v>
      </c>
      <c r="Q63" s="119">
        <f t="shared" si="2"/>
        <v>1.3259912239407643</v>
      </c>
      <c r="R63" s="45"/>
      <c r="S63" s="16"/>
      <c r="T63" s="17"/>
      <c r="U63" s="26">
        <f t="shared" si="3"/>
        <v>265.05043488295127</v>
      </c>
      <c r="V63" s="34"/>
      <c r="W63" s="35"/>
      <c r="X63" s="20"/>
      <c r="Y63" s="20"/>
      <c r="Z63" s="20"/>
      <c r="AA63" s="39"/>
      <c r="AB63" s="39"/>
      <c r="AC63" s="39"/>
      <c r="AD63" s="40"/>
      <c r="AE63" s="41"/>
      <c r="AF63" s="39"/>
      <c r="AG63" s="39"/>
      <c r="AH63" s="40"/>
    </row>
    <row r="64" spans="1:34" ht="15.75" thickBot="1">
      <c r="A64" s="156">
        <v>20</v>
      </c>
      <c r="B64" s="194" t="s">
        <v>57</v>
      </c>
      <c r="C64" s="195"/>
      <c r="D64" s="195"/>
      <c r="E64" s="195"/>
      <c r="F64" s="162" t="s">
        <v>79</v>
      </c>
      <c r="G64" s="158">
        <v>59396</v>
      </c>
      <c r="H64" s="93">
        <v>13248</v>
      </c>
      <c r="I64" s="87">
        <v>6624</v>
      </c>
      <c r="J64" s="87">
        <f>G64*P64</f>
        <v>17854434.013285022</v>
      </c>
      <c r="K64" s="87">
        <f>3993742.08/1000</f>
        <v>3993.74208</v>
      </c>
      <c r="L64" s="87">
        <f>1991.174</f>
        <v>1991.174</v>
      </c>
      <c r="M64" s="87">
        <v>298.06</v>
      </c>
      <c r="N64" s="87">
        <v>203.38</v>
      </c>
      <c r="O64" s="65">
        <f t="shared" si="27"/>
        <v>301.45999999999998</v>
      </c>
      <c r="P64" s="65">
        <f t="shared" si="27"/>
        <v>300.59993961352654</v>
      </c>
      <c r="Q64" s="119">
        <f>P64/O64</f>
        <v>0.9971470165644748</v>
      </c>
      <c r="R64" s="45"/>
      <c r="S64" s="16"/>
      <c r="T64" s="17"/>
      <c r="U64" s="26">
        <f t="shared" si="3"/>
        <v>300.59993961352654</v>
      </c>
      <c r="V64" s="34"/>
      <c r="W64" s="35"/>
      <c r="X64" s="20"/>
      <c r="Y64" s="20"/>
      <c r="Z64" s="20"/>
      <c r="AA64" s="39"/>
      <c r="AB64" s="39"/>
      <c r="AC64" s="39"/>
      <c r="AD64" s="40"/>
      <c r="AE64" s="41"/>
      <c r="AF64" s="39"/>
      <c r="AG64" s="39"/>
      <c r="AH64" s="40"/>
    </row>
    <row r="65" spans="1:34" ht="16.5" thickBot="1">
      <c r="A65" s="196" t="s">
        <v>5</v>
      </c>
      <c r="B65" s="196"/>
      <c r="C65" s="196"/>
      <c r="D65" s="196"/>
      <c r="E65" s="196"/>
      <c r="F65" s="196"/>
      <c r="G65" s="168" t="e">
        <f>G5+G7+G9+G12+G13+#REF!+G18+G20+G23+G25+G28+G30+G32+G33+G37+G39+#REF!+G42+G46+G48+G50+G54+G59+G63+G64+#REF!</f>
        <v>#REF!</v>
      </c>
      <c r="H65" s="168" t="e">
        <f>H5+H7+H9+H12+H13+#REF!+H18+H20+H23+H25+H28+H30+H32+H33+H37+H39+#REF!+H42+H46+H48+H50+H54+H59+H63+H64</f>
        <v>#REF!</v>
      </c>
      <c r="I65" s="263">
        <f>I7+I9+I12+I13+I18+I20+I23+I25+I28+I30+I32+I33+I37+I39+I42+I46+I48+I50+I54+I59+I63+I64</f>
        <v>505920.40399999998</v>
      </c>
      <c r="J65" s="264" t="e">
        <f>J5+J7+J9+J12+J13+#REF!+J18+J20+J23+J25+J28+J30+J32+J33+J37+J39+#REF!+J42+J46+J48+J50+J54+J59+J63+J64+#REF!</f>
        <v>#REF!</v>
      </c>
      <c r="K65" s="264" t="e">
        <f>K5+K7+K9+K12+K13+#REF!+K18+K20+K23+K25++K28+K30+K32+K33+K37+K39+#REF!+K42+K46+K48+K50+K54+K59+K63+K64+#REF!</f>
        <v>#REF!</v>
      </c>
      <c r="L65" s="264">
        <f>L7+L9+L12+L13+L18+L20+L23+L25+L30+L32+L33+L37+L39+L42+L46+L48+L50+L54+L59+L63+L64</f>
        <v>149069.951</v>
      </c>
      <c r="M65" s="265">
        <v>313.8</v>
      </c>
      <c r="N65" s="265"/>
      <c r="O65" s="265" t="e">
        <f>K65/H65</f>
        <v>#REF!</v>
      </c>
      <c r="P65" s="265">
        <f>L65/I65*1000</f>
        <v>294.65099612784149</v>
      </c>
      <c r="Q65" s="121" t="e">
        <f>P65/O65</f>
        <v>#REF!</v>
      </c>
      <c r="R65" s="47">
        <f>SUM(R5:R54)</f>
        <v>14613</v>
      </c>
      <c r="S65" s="4">
        <f>SUM(S5:S54)</f>
        <v>14800</v>
      </c>
      <c r="T65" s="14">
        <f>SUM(T5:T54)</f>
        <v>15121</v>
      </c>
      <c r="U65" s="18" t="e">
        <f>J65/G65</f>
        <v>#REF!</v>
      </c>
      <c r="V65" s="18" t="e">
        <f>K65/H65</f>
        <v>#REF!</v>
      </c>
      <c r="W65" s="33">
        <f t="shared" si="5"/>
        <v>0.29465099612784151</v>
      </c>
      <c r="X65" s="37"/>
      <c r="Y65" s="37"/>
      <c r="Z65" s="37"/>
      <c r="AA65" s="189"/>
      <c r="AB65" s="189"/>
      <c r="AC65" s="189"/>
      <c r="AD65" s="190"/>
      <c r="AE65" s="188"/>
      <c r="AF65" s="189"/>
      <c r="AG65" s="189"/>
      <c r="AH65" s="190"/>
    </row>
    <row r="66" spans="1:34" ht="31.9" customHeight="1">
      <c r="M66" s="110" t="s">
        <v>87</v>
      </c>
      <c r="N66" s="110"/>
      <c r="O66" s="108" t="e">
        <f>O65*1.04</f>
        <v>#REF!</v>
      </c>
      <c r="P66" s="154"/>
      <c r="Q66" s="109" t="e">
        <f>P66/O66</f>
        <v>#REF!</v>
      </c>
    </row>
    <row r="67" spans="1:34">
      <c r="F67" s="15"/>
    </row>
    <row r="68" spans="1:34">
      <c r="D68" s="136"/>
      <c r="E68" s="136"/>
      <c r="F68" s="184"/>
      <c r="G68" s="137"/>
      <c r="H68" s="137"/>
      <c r="I68" s="137"/>
      <c r="J68" s="107"/>
    </row>
    <row r="69" spans="1:34" ht="15.75">
      <c r="D69" s="136"/>
      <c r="E69" s="136"/>
      <c r="F69" s="184"/>
      <c r="G69" s="138"/>
      <c r="H69" s="138"/>
      <c r="I69" s="139"/>
      <c r="J69" s="107"/>
    </row>
    <row r="70" spans="1:34" ht="15.75">
      <c r="D70" s="136"/>
      <c r="E70" s="136"/>
      <c r="F70" s="140"/>
      <c r="G70" s="183"/>
      <c r="H70" s="183"/>
      <c r="I70" s="141"/>
      <c r="J70" s="107"/>
    </row>
    <row r="71" spans="1:34">
      <c r="D71" s="136"/>
      <c r="E71" s="136"/>
      <c r="F71" s="182"/>
      <c r="G71" s="142"/>
      <c r="H71" s="143"/>
      <c r="I71" s="144"/>
      <c r="J71" s="107"/>
    </row>
    <row r="72" spans="1:34">
      <c r="D72" s="136"/>
      <c r="E72" s="136"/>
      <c r="F72" s="182"/>
      <c r="G72" s="145"/>
      <c r="H72" s="145"/>
      <c r="I72" s="146"/>
      <c r="J72" s="107"/>
    </row>
    <row r="73" spans="1:34" ht="15.75">
      <c r="D73" s="136"/>
      <c r="E73" s="136"/>
      <c r="F73" s="147"/>
      <c r="G73" s="181"/>
      <c r="H73" s="181"/>
      <c r="I73" s="148"/>
      <c r="J73" s="149"/>
      <c r="K73" s="100"/>
      <c r="L73" s="100"/>
      <c r="M73" s="100"/>
      <c r="N73" s="100"/>
    </row>
    <row r="74" spans="1:34">
      <c r="D74" s="136"/>
      <c r="E74" s="136"/>
      <c r="F74" s="149"/>
      <c r="G74" s="150"/>
      <c r="H74" s="149"/>
      <c r="I74" s="149"/>
      <c r="J74" s="149"/>
      <c r="K74" s="100"/>
      <c r="L74" s="100"/>
      <c r="M74" s="100"/>
      <c r="N74" s="100"/>
    </row>
    <row r="75" spans="1:34">
      <c r="D75" s="136"/>
      <c r="E75" s="136"/>
      <c r="F75" s="107"/>
      <c r="G75" s="107"/>
      <c r="H75" s="107"/>
      <c r="I75" s="107"/>
      <c r="J75" s="107"/>
    </row>
    <row r="77" spans="1:34" ht="30" customHeight="1">
      <c r="F77" s="185"/>
      <c r="G77" s="101"/>
      <c r="H77" s="101"/>
      <c r="I77" s="101"/>
    </row>
    <row r="78" spans="1:34">
      <c r="F78" s="185"/>
      <c r="G78" s="102"/>
      <c r="H78" s="103"/>
      <c r="I78" s="105"/>
    </row>
    <row r="79" spans="1:34" ht="15.75">
      <c r="F79" s="104"/>
      <c r="G79" s="186"/>
      <c r="H79" s="186"/>
      <c r="I79" s="106"/>
    </row>
    <row r="80" spans="1:34">
      <c r="F80" s="107"/>
      <c r="G80" s="107"/>
      <c r="H80" s="107"/>
      <c r="I80" s="107"/>
    </row>
  </sheetData>
  <mergeCells count="108">
    <mergeCell ref="AA13:AD17"/>
    <mergeCell ref="AA18:AD18"/>
    <mergeCell ref="B40:E41"/>
    <mergeCell ref="B34:E34"/>
    <mergeCell ref="B36:E36"/>
    <mergeCell ref="AA28:AD28"/>
    <mergeCell ref="AA30:AD30"/>
    <mergeCell ref="AA32:AD32"/>
    <mergeCell ref="B28:E28"/>
    <mergeCell ref="AA20:AD20"/>
    <mergeCell ref="AA23:AD23"/>
    <mergeCell ref="AA24:AD24"/>
    <mergeCell ref="B23:E23"/>
    <mergeCell ref="B30:E30"/>
    <mergeCell ref="B32:E32"/>
    <mergeCell ref="B33:E33"/>
    <mergeCell ref="B19:E19"/>
    <mergeCell ref="B24:E24"/>
    <mergeCell ref="B26:E27"/>
    <mergeCell ref="B35:E35"/>
    <mergeCell ref="B38:E38"/>
    <mergeCell ref="AA33:AD33"/>
    <mergeCell ref="AA37:AD37"/>
    <mergeCell ref="AA39:AD39"/>
    <mergeCell ref="AA42:AD42"/>
    <mergeCell ref="AA50:AD50"/>
    <mergeCell ref="AA54:AD54"/>
    <mergeCell ref="AA46:AD46"/>
    <mergeCell ref="AA48:AD48"/>
    <mergeCell ref="B37:E37"/>
    <mergeCell ref="B39:E39"/>
    <mergeCell ref="B42:E42"/>
    <mergeCell ref="B51:E53"/>
    <mergeCell ref="B49:E49"/>
    <mergeCell ref="F43:F45"/>
    <mergeCell ref="B48:E48"/>
    <mergeCell ref="B46:E46"/>
    <mergeCell ref="B47:E47"/>
    <mergeCell ref="B50:E50"/>
    <mergeCell ref="J3:L3"/>
    <mergeCell ref="A3:A4"/>
    <mergeCell ref="F3:F4"/>
    <mergeCell ref="B54:E54"/>
    <mergeCell ref="B59:E59"/>
    <mergeCell ref="B63:E63"/>
    <mergeCell ref="B17:E17"/>
    <mergeCell ref="B16:E16"/>
    <mergeCell ref="B15:E15"/>
    <mergeCell ref="B18:E18"/>
    <mergeCell ref="B20:E20"/>
    <mergeCell ref="B13:E13"/>
    <mergeCell ref="A40:A41"/>
    <mergeCell ref="B14:E14"/>
    <mergeCell ref="B25:E25"/>
    <mergeCell ref="B29:E29"/>
    <mergeCell ref="B31:E31"/>
    <mergeCell ref="A1:T2"/>
    <mergeCell ref="R3:T3"/>
    <mergeCell ref="AA9:AD12"/>
    <mergeCell ref="AA3:AD4"/>
    <mergeCell ref="AA5:AD5"/>
    <mergeCell ref="AA7:AD7"/>
    <mergeCell ref="U3:W3"/>
    <mergeCell ref="X3:Z3"/>
    <mergeCell ref="B3:E4"/>
    <mergeCell ref="B5:E5"/>
    <mergeCell ref="B7:E7"/>
    <mergeCell ref="B9:E9"/>
    <mergeCell ref="B12:E12"/>
    <mergeCell ref="M3:P3"/>
    <mergeCell ref="B10:E11"/>
    <mergeCell ref="B8:E8"/>
    <mergeCell ref="A10:A11"/>
    <mergeCell ref="G3:I3"/>
    <mergeCell ref="AE50:AH50"/>
    <mergeCell ref="AE48:AH48"/>
    <mergeCell ref="AE3:AH4"/>
    <mergeCell ref="AE37:AH37"/>
    <mergeCell ref="AE39:AH39"/>
    <mergeCell ref="AE42:AH42"/>
    <mergeCell ref="AE5:AH5"/>
    <mergeCell ref="AE7:AH7"/>
    <mergeCell ref="AE9:AH12"/>
    <mergeCell ref="AE18:AH18"/>
    <mergeCell ref="AE20:AH20"/>
    <mergeCell ref="AE23:AH23"/>
    <mergeCell ref="AE46:AH46"/>
    <mergeCell ref="AE13:AH17"/>
    <mergeCell ref="AE24:AH24"/>
    <mergeCell ref="AE28:AH28"/>
    <mergeCell ref="AE30:AH30"/>
    <mergeCell ref="AE32:AH32"/>
    <mergeCell ref="AE33:AH33"/>
    <mergeCell ref="G73:H73"/>
    <mergeCell ref="F71:F72"/>
    <mergeCell ref="G70:H70"/>
    <mergeCell ref="F68:F69"/>
    <mergeCell ref="F77:F78"/>
    <mergeCell ref="G79:H79"/>
    <mergeCell ref="B58:E58"/>
    <mergeCell ref="AE65:AH65"/>
    <mergeCell ref="AE54:AH54"/>
    <mergeCell ref="B64:E64"/>
    <mergeCell ref="A65:F65"/>
    <mergeCell ref="B60:E62"/>
    <mergeCell ref="A60:A62"/>
    <mergeCell ref="B55:E57"/>
    <mergeCell ref="AA65:AD65"/>
  </mergeCells>
  <pageMargins left="0.7" right="0.7" top="0.75" bottom="0.75" header="0.3" footer="0.3"/>
  <pageSetup paperSize="9" scale="50" orientation="portrait" verticalDpi="0" r:id="rId1"/>
  <ignoredErrors>
    <ignoredError sqref="J59:J62 J37:J40 J64 J32:J34 J7:J10 J13:J14 J42 J18:J25 J16:J17 J27:J28 J30 J46 J54:J56 J48:J52" formula="1"/>
    <ignoredError sqref="H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0073</dc:creator>
  <cp:lastModifiedBy>332-01</cp:lastModifiedBy>
  <cp:lastPrinted>2017-03-29T14:42:31Z</cp:lastPrinted>
  <dcterms:created xsi:type="dcterms:W3CDTF">2016-08-09T08:53:37Z</dcterms:created>
  <dcterms:modified xsi:type="dcterms:W3CDTF">2017-04-14T09:40:54Z</dcterms:modified>
</cp:coreProperties>
</file>